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ausgrid-my.sharepoint.com/personal/caroline_stewart_ausgrid_com_au/Documents/Documents/Sustainability work/FY25 Report/ESG Data book/FINAL/"/>
    </mc:Choice>
  </mc:AlternateContent>
  <xr:revisionPtr revIDLastSave="32" documentId="8_{48F30DD1-44CB-4158-98D8-E4243182B276}" xr6:coauthVersionLast="47" xr6:coauthVersionMax="47" xr10:uidLastSave="{54A135E6-7FBC-48A0-AFDC-912A5769AF96}"/>
  <bookViews>
    <workbookView xWindow="-120" yWindow="-120" windowWidth="29040" windowHeight="15720" tabRatio="816" xr2:uid="{00000000-000D-0000-FFFF-FFFF00000000}"/>
  </bookViews>
  <sheets>
    <sheet name="About &amp; contents" sheetId="28" r:id="rId1"/>
    <sheet name="Ausgrid Business" sheetId="37" r:id="rId2"/>
    <sheet name="PLUS ES Business" sheetId="19" r:id="rId3"/>
    <sheet name="GROUP Risk &amp; Compliance" sheetId="20" r:id="rId4"/>
    <sheet name="GROUP Workforce" sheetId="25" r:id="rId5"/>
    <sheet name="Ausgrid Workforce" sheetId="7" r:id="rId6"/>
    <sheet name="PLUS ES Workforce" sheetId="8" r:id="rId7"/>
    <sheet name="Ausgrid Customer" sheetId="16" r:id="rId8"/>
    <sheet name="GROUP Environment" sheetId="26" r:id="rId9"/>
    <sheet name="Ausgrid Environment" sheetId="9" r:id="rId10"/>
    <sheet name="PLUS ES Environment" sheetId="10" r:id="rId11"/>
    <sheet name="Ausgrid Power Supplied" sheetId="13" r:id="rId12"/>
    <sheet name="GROUP Emissions" sheetId="24" r:id="rId13"/>
    <sheet name="Ausgrid Emissions" sheetId="22" r:id="rId14"/>
    <sheet name="PLUS ES Emissions" sheetId="23" r:id="rId15"/>
    <sheet name="GROUP Health &amp; Safety" sheetId="11" r:id="rId16"/>
    <sheet name="PLUS ES Health &amp; Safety" sheetId="12" r:id="rId17"/>
    <sheet name="GRI Index" sheetId="36" state="hidden" r:id="rId18"/>
  </sheets>
  <definedNames>
    <definedName name="_AMO_UniqueIdentifier" hidden="1">"'2f12fad1-39e1-4384-89d7-187f38caf61e'"</definedName>
    <definedName name="_xlnm._FilterDatabase" localSheetId="1" hidden="1">'Ausgrid Business'!$B$4:$N$30</definedName>
    <definedName name="_xlnm._FilterDatabase" localSheetId="11" hidden="1">'Ausgrid Power Supplied'!$B$4:$N$4</definedName>
    <definedName name="_xlnm._FilterDatabase" localSheetId="3" hidden="1">'GROUP Risk &amp; Compliance'!$B$2:$N$26</definedName>
    <definedName name="_xlnm._FilterDatabase" localSheetId="2" hidden="1">'PLUS ES Business'!#REF!</definedName>
    <definedName name="About">'About &amp; contents'!$G$7</definedName>
    <definedName name="About_This_Workbook">'About &amp; contents'!$G$7</definedName>
    <definedName name="asset" localSheetId="0">#REF!</definedName>
    <definedName name="asset">#REF!</definedName>
    <definedName name="AssetNameSheet" localSheetId="0">#REF!</definedName>
    <definedName name="AssetNameSheet">#REF!</definedName>
    <definedName name="Ausgrid_Business_Overview">'Ausgrid Business'!$B$2</definedName>
    <definedName name="Ausgrid_Customer_Experience">'Ausgrid Customer'!$B$2</definedName>
    <definedName name="Ausgrid_Energy_and_Emissions">'Ausgrid Emissions'!$B$2</definedName>
    <definedName name="Ausgrid_Environment">'Ausgrid Environment'!$B$2</definedName>
    <definedName name="Ausgrid_Group_Energy_and_Emissions">'GROUP Emissions'!$B$2</definedName>
    <definedName name="Ausgrid_Group_Environment">'GROUP Environment'!$B$2</definedName>
    <definedName name="Ausgrid_Group_Risk___Compliance1">'GROUP Risk &amp; Compliance'!$B$2</definedName>
    <definedName name="Ausgrid_Group_Risk_and_Compliance">'GROUP Risk &amp; Compliance'!$A$2</definedName>
    <definedName name="Ausgrid_Group_Workforce">'GROUP Workforce'!$B$2</definedName>
    <definedName name="Ausgrid_Health_and_Safety">'GROUP Health &amp; Safety'!$B$2</definedName>
    <definedName name="Ausgrid_Power_Supplied">'Ausgrid Power Supplied'!$B$2</definedName>
    <definedName name="Ausgrid_Workforce">'Ausgrid Workforce'!$B$2</definedName>
    <definedName name="Ausgridbusiness">'Ausgrid Business'!$A$1</definedName>
    <definedName name="CIQWBGuid" hidden="1">"Quarterly Asset Update IFMAI 2017 03 - Actuals - Final.xlsm"</definedName>
    <definedName name="Contents">'About &amp; contents'!$B$7</definedName>
    <definedName name="Contents_Home">'About &amp; contents'!$B$7</definedName>
    <definedName name="conversion_ft3Tom3" localSheetId="0">#REF!</definedName>
    <definedName name="conversion_ft3Tom3">#REF!</definedName>
    <definedName name="conversion_galToLiters" localSheetId="0">#REF!</definedName>
    <definedName name="conversion_galToLiters">#REF!</definedName>
    <definedName name="conversion_gToTons" localSheetId="0">#REF!</definedName>
    <definedName name="conversion_gToTons">#REF!</definedName>
    <definedName name="conversion_kgToTons" localSheetId="0">#REF!</definedName>
    <definedName name="conversion_kgToTons">#REF!</definedName>
    <definedName name="conversion_lbsToKg" localSheetId="0">#REF!</definedName>
    <definedName name="conversion_lbsToKg">#REF!</definedName>
    <definedName name="Currency" localSheetId="0">#REF!</definedName>
    <definedName name="Currency">#REF!</definedName>
    <definedName name="Current_Quarter" localSheetId="0">#REF!</definedName>
    <definedName name="Current_Quarter">#REF!</definedName>
    <definedName name="date_end" localSheetId="0">#REF!</definedName>
    <definedName name="date_end">#REF!</definedName>
    <definedName name="date_start" localSheetId="0">#REF!</definedName>
    <definedName name="date_start">#REF!</definedName>
    <definedName name="GAV" localSheetId="0">#REF!</definedName>
    <definedName name="GAV">#REF!</definedName>
    <definedName name="Glossary">#REF!</definedName>
    <definedName name="GRI_Index">'GRI Index'!$B$2</definedName>
    <definedName name="GWP_CH4" localSheetId="0">#REF!</definedName>
    <definedName name="GWP_CH4">#REF!</definedName>
    <definedName name="GWP_CO2" localSheetId="0">#REF!</definedName>
    <definedName name="GWP_CO2">#REF!</definedName>
    <definedName name="GWP_N2O" localSheetId="0">#REF!</definedName>
    <definedName name="GWP_N2O">#REF!</definedName>
    <definedName name="InputMethodSelection" localSheetId="0">#REF!</definedName>
    <definedName name="InputMethodSelection">#REF!</definedName>
    <definedName name="IQ_ADDIN" hidden="1">"AUTO"</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UNUSED_UNUSED_UNUSED" hidden="1">"c6813"</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UNUSED_UNUSED_UNUSED" hidden="1">"c6815"</definedName>
    <definedName name="IQ_BALANCE_SERV_YOY_FC_UNUSED_UNUSED_UNUSED" hidden="1">"c8135"</definedName>
    <definedName name="IQ_BALANCE_SERV_YOY_UNUSED_UNUSED_UNUSED" hidden="1">"c7255"</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UNUSED_UNUSED_UNUSED" hidden="1">"c6817"</definedName>
    <definedName name="IQ_BALANCE_TRADE_YOY_FC_UNUSED_UNUSED_UNUSED" hidden="1">"c8137"</definedName>
    <definedName name="IQ_BALANCE_TRADE_YOY_UNUSED_UNUSED_UNUSED" hidden="1">"c7257"</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CH" hidden="1">110000</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UNUSED_UNUSED_UNUSED" hidden="1">"c6960"</definedName>
    <definedName name="IQ_CHANGE_INVENT_REAL_YOY_FC_UNUSED_UNUSED_UNUSED" hidden="1">"c8280"</definedName>
    <definedName name="IQ_CHANGE_INVENT_REAL_YOY_UNUSED_UNUSED_UNUSED" hidden="1">"c7400"</definedName>
    <definedName name="IQ_CONTRACTS_OTHER_COMMODITIES_EQUITIES._FDIC" hidden="1">"c6522"</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Q" hidden="1">5000</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OP_FC_UNUSED_UNUSED_UNUSED" hidden="1">"c7947"</definedName>
    <definedName name="IQ_CURR_ACCT_BALANCE_POP_UNUSED_UNUSED_UNUSED" hidden="1">"c7067"</definedName>
    <definedName name="IQ_CURR_ACCT_BALANCE_UNUSED_UNUSED_UNUSED" hidden="1">"c6847"</definedName>
    <definedName name="IQ_CURR_ACCT_BALANCE_YOY_FC_UNUSED_UNUSED_UNUSED" hidden="1">"c8167"</definedName>
    <definedName name="IQ_CURR_ACCT_BALANCE_YOY_UNUSED_UNUSED_UNUSED" hidden="1">"c7287"</definedName>
    <definedName name="IQ_CY" hidden="1">10000</definedName>
    <definedName name="IQ_DAILY" hidden="1">500000</definedName>
    <definedName name="IQ_DNTM" hidden="1">700000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648_UNUSED_UNUSED_UNUSED" hidden="1">"c7648"</definedName>
    <definedName name="IQ_ECO_METRIC_7705_UNUSED_UNUSED_UNUSED" hidden="1">"c7705"</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68_UNUSED_UNUSED_UNUSED" hidden="1">"c7868"</definedName>
    <definedName name="IQ_ECO_METRIC_7925_UNUSED_UNUSED_UNUSED" hidden="1">"c7925"</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88_UNUSED_UNUSED_UNUSED" hidden="1">"c8088"</definedName>
    <definedName name="IQ_ECO_METRIC_8145_UNUSED_UNUSED_UNUSED" hidden="1">"c8145"</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308_UNUSED_UNUSED_UNUSED" hidden="1">"c8308"</definedName>
    <definedName name="IQ_ECO_METRIC_8436_UNUSED_UNUSED_UNUSED" hidden="1">"c8436"</definedName>
    <definedName name="IQ_ECO_METRIC_8437_UNUSED_UNUSED_UNUSED" hidden="1">"c8437"</definedName>
    <definedName name="IQ_ECO_METRIC_8528_UNUSED_UNUSED_UNUSED" hidden="1">"c8528"</definedName>
    <definedName name="IQ_EXPENSE_CODE_">"test"</definedName>
    <definedName name="IQ_EXPORTS_APR_FC_UNUSED_UNUSED_UNUSED" hidden="1">"c8401"</definedName>
    <definedName name="IQ_EXPORTS_APR_UNUSED_UNUSED_UNUSED" hidden="1">"c7521"</definedName>
    <definedName name="IQ_EXPORTS_FC_UNUSED_UNUSED_UNUSED" hidden="1">"c7741"</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_FC_UNUSED_UNUSED_UNUSED" hidden="1">"c8292"</definedName>
    <definedName name="IQ_EXPORTS_GOODS_REAL_SAAR_YOY_UNUSED_UNUSED_UNUSED" hidden="1">"c7412"</definedName>
    <definedName name="IQ_EXPORTS_POP_FC_UNUSED_UNUSED_UNUSED" hidden="1">"c7961"</definedName>
    <definedName name="IQ_EXPORTS_POP_UNUSED_UNUSED_UNUSED" hidden="1">"c7081"</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_FC_UNUSED_UNUSED_UNUSED" hidden="1">"c8296"</definedName>
    <definedName name="IQ_EXPORTS_SERVICES_REAL_SAAR_YOY_UNUSED_UNUSED_UNUSED" hidden="1">"c7416"</definedName>
    <definedName name="IQ_EXPORTS_UNUSED_UNUSED_UNUSED" hidden="1">"c6861"</definedName>
    <definedName name="IQ_EXPORTS_YOY_FC_UNUSED_UNUSED_UNUSED" hidden="1">"c8181"</definedName>
    <definedName name="IQ_EXPORTS_YOY_UNUSED_UNUSED_UNUSED" hidden="1">"c7301"</definedName>
    <definedName name="IQ_FH" hidden="1">100000</definedName>
    <definedName name="IQ_FIN_DIV_CURRENT_PORT_DEBT_TOTAL" hidden="1">"c5524"</definedName>
    <definedName name="IQ_FIN_DIV_CURRENT_PORT_LEASES_TOTAL" hidden="1">"c5523"</definedName>
    <definedName name="IQ_FIN_DIV_DEBT_LT_TOTAL" hidden="1">"c5526"</definedName>
    <definedName name="IQ_FIN_DIV_LEASES_LT_TOTAL" hidden="1">"c5525"</definedName>
    <definedName name="IQ_FIN_DIV_NOTES_PAY_TOTAL" hidden="1">"c5522"</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UNUSED_UNUSED_UNUSED" hidden="1">"c6978"</definedName>
    <definedName name="IQ_FIXED_INVEST_REAL_YOY_FC_UNUSED_UNUSED_UNUSED" hidden="1">"c8298"</definedName>
    <definedName name="IQ_FIXED_INVEST_REAL_YOY_UNUSED_UNUSED_UNUSED" hidden="1">"c7418"</definedName>
    <definedName name="IQ_FIXED_INVEST_UNUSED_UNUSED_UNUSED" hidden="1">"c6870"</definedName>
    <definedName name="IQ_FIXED_INVEST_YOY_FC_UNUSED_UNUSED_UNUSED" hidden="1">"c8190"</definedName>
    <definedName name="IQ_FIXED_INVEST_YOY_UNUSED_UNUSED_UNUSED" hidden="1">"c7310"</definedName>
    <definedName name="IQ_FOREIGN_BRANCHES_U.S._BANKS_LOANS_FDIC" hidden="1">"c6438"</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YOY_FC_UNUSED_UNUSED_UNUSED" hidden="1">"c8304"</definedName>
    <definedName name="IQ_IMPORTS_GOODS_SERVICES_REAL_SAAR_YOY_UNUSED_UNUSED_UNUSED" hidden="1">"c7424"</definedName>
    <definedName name="IQ_IMPORTS_GOODS_SERVICES_UNUSED_UNUSED_UNUSED" hidden="1">"c6889"</definedName>
    <definedName name="IQ_IMPORTS_GOODS_SERVICES_YOY_FC_UNUSED_UNUSED_UNUSED" hidden="1">"c8209"</definedName>
    <definedName name="IQ_IMPORTS_GOODS_SERVICES_YOY_UNUSED_UNUSED_UNUSED" hidden="1">"c7329"</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LATESTK" hidden="1">1000</definedName>
    <definedName name="IQ_LATESTQ" hidden="1">500</definedName>
    <definedName name="IQ_LTM" hidden="1">2000</definedName>
    <definedName name="IQ_LTMMONTH" hidden="1">120000</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ONTH" hidden="1">15000</definedName>
    <definedName name="IQ_MTD" hidden="1">800000</definedName>
    <definedName name="IQ_NAMES_REVISION_DATE_" hidden="1">42296.5370833333</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UNUSED_UNUSED_UNUSED" hidden="1">"c6928"</definedName>
    <definedName name="IQ_NONRES_FIXED_INVEST_PRIV_YOY_FC_UNUSED_UNUSED_UNUSED" hidden="1">"c8248"</definedName>
    <definedName name="IQ_NONRES_FIXED_INVEST_PRIV_YOY_UNUSED_UNUSED_UNUSED" hidden="1">"c7368"</definedName>
    <definedName name="IQ_NTM" hidden="1">6000</definedName>
    <definedName name="IQ_OPENED55" hidden="1">1</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QTD" hidden="1">750000</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SHAREOUTSTANDING" hidden="1">"c1347"</definedName>
    <definedName name="IQ_TODAY" hidden="1">0</definedName>
    <definedName name="IQ_WEEK" hidden="1">50000</definedName>
    <definedName name="IQ_YTD" hidden="1">3000</definedName>
    <definedName name="IQ_YTDMONTH" hidden="1">130000</definedName>
    <definedName name="Last_Quarter">#REF!</definedName>
    <definedName name="list_assets" localSheetId="0">#REF!</definedName>
    <definedName name="list_assets">#REF!</definedName>
    <definedName name="Million">10^6</definedName>
    <definedName name="NSWP_IFM">#REF!</definedName>
    <definedName name="Our_Business___At_A_Glance" localSheetId="1">'Ausgrid Business'!$B$2</definedName>
    <definedName name="Our_Business___At_A_Glance">'PLUS ES Business'!$B$2</definedName>
    <definedName name="Output" localSheetId="0">#REF!</definedName>
    <definedName name="Output">#REF!</definedName>
    <definedName name="PLUS_ES_Business_Overview">'PLUS ES Business'!$B$2</definedName>
    <definedName name="PLUS_ES_Emissions">'PLUS ES Emissions'!$B$2</definedName>
    <definedName name="PLUS_ES_Environment">'PLUS ES Environment'!$B$2</definedName>
    <definedName name="PLUS_ES_Health_and_Safety">'PLUS ES Health &amp; Safety'!$B$2</definedName>
    <definedName name="PLUS_ES_Workforce">'PLUS ES Workforce'!$B$2</definedName>
    <definedName name="_xlnm.Print_Area" localSheetId="7">'Ausgrid Customer'!$B$2:$K$13</definedName>
    <definedName name="_xlnm.Print_Area" localSheetId="13">'Ausgrid Emissions'!$B$2:$N$56</definedName>
    <definedName name="_xlnm.Print_Area" localSheetId="9">'Ausgrid Environment'!$B$2:$N$59</definedName>
    <definedName name="_xlnm.Print_Area" localSheetId="11">'Ausgrid Power Supplied'!$B$2:$N$81</definedName>
    <definedName name="_xlnm.Print_Area" localSheetId="5">'Ausgrid Workforce'!$B$4:$AH$189</definedName>
    <definedName name="_xlnm.Print_Area" localSheetId="12">'GROUP Emissions'!$B$2:$M$53</definedName>
    <definedName name="_xlnm.Print_Area" localSheetId="8">'GROUP Environment'!$B$2:$N$58</definedName>
    <definedName name="_xlnm.Print_Area" localSheetId="15">'GROUP Health &amp; Safety'!$B$2:$N$40</definedName>
    <definedName name="_xlnm.Print_Area" localSheetId="14">'PLUS ES Emissions'!$B$2:$N$35</definedName>
    <definedName name="_xlnm.Print_Area" localSheetId="10">'PLUS ES Environment'!$B$2:$M$42</definedName>
    <definedName name="_xlnm.Print_Area" localSheetId="16">'PLUS ES Health &amp; Safety'!$B$2:$L$22</definedName>
    <definedName name="_xlnm.Print_Area" localSheetId="6">'PLUS ES Workforce'!$B$2:$AF$187</definedName>
    <definedName name="PriorPeriodAssets" localSheetId="0">OFFSET(#REF!,0,0,COUNTA(#REF!)-1,1)</definedName>
    <definedName name="PriorPeriodAssets">OFFSET(#REF!,0,0,COUNTA(#REF!)-1,1)</definedName>
    <definedName name="PriorPeriodData" localSheetId="0">OFFSET(#REF!,0,0,COUNTA(#REF!)-1,COUNTA(#REF!))</definedName>
    <definedName name="PriorPeriodData">OFFSET(#REF!,0,0,COUNTA(#REF!)-1,COUNTA(#REF!))</definedName>
    <definedName name="PriorPeriodTitle" localSheetId="0">OFFSET(#REF!,0,0,1,COUNTA(#REF!))</definedName>
    <definedName name="PriorPeriodTitle">OFFSET(#REF!,0,0,1,COUNTA(#REF!))</definedName>
    <definedName name="PSTshare" localSheetId="0">#REF!</definedName>
    <definedName name="PSTshare">#REF!</definedName>
    <definedName name="Revenue" localSheetId="0">#REF!</definedName>
    <definedName name="Revenue">#REF!</definedName>
    <definedName name="table_AssetInformation" localSheetId="0">#REF!</definedName>
    <definedName name="table_AssetInformation">#REF!</definedName>
    <definedName name="table_CoverPageAssets" localSheetId="0">#REF!</definedName>
    <definedName name="table_CoverPageAssets">#REF!</definedName>
    <definedName name="table_DataComponents" localSheetId="0">#REF!</definedName>
    <definedName name="table_DataComponents">#REF!</definedName>
    <definedName name="table_emissionfactors_Elec" localSheetId="0">#REF!</definedName>
    <definedName name="table_emissionfactors_Elec">#REF!</definedName>
    <definedName name="table_emissionfactors_Fuels" localSheetId="0">#REF!</definedName>
    <definedName name="table_emissionfactors_Fuels">#REF!</definedName>
    <definedName name="table_unitconversions" localSheetId="0">#REF!</definedName>
    <definedName name="table_unitconversions">#REF!</definedName>
    <definedName name="tableindex_unitconversionsEnd" localSheetId="0">#REF!</definedName>
    <definedName name="tableindex_unitconversionsEnd">#REF!</definedName>
    <definedName name="tableindex_unitconversionsStart" localSheetId="0">#REF!</definedName>
    <definedName name="tableindex_unitconversionsStart">#REF!</definedName>
    <definedName name="vxc" localSheetId="0">#REF!</definedName>
    <definedName name="vxc" localSheetId="13">#REF!</definedName>
    <definedName name="vxc" localSheetId="12">#REF!</definedName>
    <definedName name="vxc" localSheetId="14">#REF!</definedName>
    <definedName name="vxc">#REF!</definedName>
    <definedName name="Waste" localSheetId="8">'GROUP Environment'!$K$16</definedName>
    <definedName name="Waste">'Ausgrid Environment'!$K$16</definedName>
    <definedName name="Water_Dis" localSheetId="8">'GROUP Environment'!$K$32</definedName>
    <definedName name="Water_Dis">'Ausgrid Environment'!$K$32</definedName>
    <definedName name="year_1ago" localSheetId="0">#REF!</definedName>
    <definedName name="year_1ago">#REF!</definedName>
    <definedName name="year_current" localSheetId="0">#REF!</definedName>
    <definedName name="year_current">#REF!</definedName>
    <definedName name="year_PieChartSelection" localSheetId="0">#REF!</definedName>
    <definedName name="year_PieChartSelec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24" l="1"/>
  <c r="F46" i="23"/>
  <c r="F10" i="23" s="1"/>
  <c r="J26" i="24"/>
  <c r="F16" i="23" l="1"/>
  <c r="F14" i="23" s="1"/>
  <c r="F11" i="23"/>
  <c r="F18" i="23"/>
  <c r="F8" i="24" l="1"/>
  <c r="F20" i="22"/>
  <c r="F15" i="22"/>
  <c r="F36" i="13"/>
  <c r="F184" i="25"/>
  <c r="F65" i="24"/>
  <c r="F67" i="24" s="1"/>
  <c r="F70" i="24" s="1"/>
  <c r="F66" i="24"/>
  <c r="F69" i="24"/>
  <c r="K65" i="24" s="1"/>
  <c r="K67" i="24" s="1"/>
  <c r="I66" i="24"/>
  <c r="I65" i="24" s="1"/>
  <c r="I67" i="24" s="1"/>
  <c r="J66" i="24"/>
  <c r="J65" i="24" s="1"/>
  <c r="J67" i="24" s="1"/>
  <c r="K66" i="24"/>
  <c r="H66" i="24"/>
  <c r="H65" i="24" s="1"/>
  <c r="H67" i="24" s="1"/>
  <c r="F24" i="9"/>
  <c r="F25" i="9"/>
  <c r="F27" i="9"/>
  <c r="F33" i="9" s="1"/>
  <c r="F28" i="9"/>
  <c r="F29" i="9"/>
  <c r="F30" i="9"/>
  <c r="F31" i="9"/>
  <c r="F12" i="9"/>
  <c r="F11" i="9"/>
  <c r="F10" i="9"/>
  <c r="F11" i="10"/>
  <c r="F10" i="10"/>
  <c r="F32" i="26"/>
  <c r="F33" i="26"/>
  <c r="N19" i="26"/>
  <c r="M19" i="26"/>
  <c r="L19" i="26"/>
  <c r="K19" i="26"/>
  <c r="J19" i="26"/>
  <c r="I19" i="26"/>
  <c r="H19" i="26"/>
  <c r="G19" i="26"/>
  <c r="F23" i="24"/>
  <c r="F21" i="22" s="1"/>
  <c r="K18" i="24"/>
  <c r="F18" i="24"/>
  <c r="F19" i="24"/>
  <c r="F22" i="22"/>
  <c r="F45" i="23"/>
  <c r="F42" i="9"/>
  <c r="F43" i="9"/>
  <c r="F50" i="22"/>
  <c r="F10" i="24"/>
  <c r="F11" i="24"/>
  <c r="F52" i="26"/>
  <c r="F53" i="26"/>
  <c r="F54" i="26"/>
  <c r="F50" i="26"/>
  <c r="F32" i="13"/>
  <c r="F12" i="13"/>
  <c r="F17" i="13" s="1"/>
  <c r="F15" i="13"/>
  <c r="F8" i="13"/>
  <c r="G26" i="37"/>
  <c r="H26" i="37"/>
  <c r="I26" i="37"/>
  <c r="J26" i="37"/>
  <c r="K26" i="37"/>
  <c r="L26" i="37"/>
  <c r="M26" i="37"/>
  <c r="N26" i="37"/>
  <c r="F26" i="37"/>
  <c r="F15" i="24"/>
  <c r="F14" i="22" s="1"/>
  <c r="F130" i="25"/>
  <c r="F131" i="25"/>
  <c r="F132" i="25"/>
  <c r="F133" i="25"/>
  <c r="F134" i="25"/>
  <c r="G130" i="25"/>
  <c r="G136" i="25" s="1"/>
  <c r="G131" i="25"/>
  <c r="G132" i="25"/>
  <c r="G133" i="25"/>
  <c r="G134" i="25"/>
  <c r="H130" i="25"/>
  <c r="H131" i="25"/>
  <c r="H132" i="25"/>
  <c r="H133" i="25"/>
  <c r="H134" i="25"/>
  <c r="H135" i="25"/>
  <c r="I135" i="25" s="1"/>
  <c r="F138" i="25"/>
  <c r="F139" i="25"/>
  <c r="F140" i="25"/>
  <c r="F141" i="25"/>
  <c r="F142" i="25"/>
  <c r="F143" i="25"/>
  <c r="G138" i="25"/>
  <c r="G139" i="25"/>
  <c r="G140" i="25"/>
  <c r="G141" i="25"/>
  <c r="G142" i="25"/>
  <c r="G143" i="25"/>
  <c r="H145" i="25"/>
  <c r="H144" i="25"/>
  <c r="I144" i="25"/>
  <c r="H138" i="25"/>
  <c r="H139" i="25"/>
  <c r="H140" i="25"/>
  <c r="H141" i="25"/>
  <c r="H142" i="25"/>
  <c r="H143" i="25"/>
  <c r="I153" i="25"/>
  <c r="I148" i="8"/>
  <c r="I149" i="8"/>
  <c r="I147" i="8"/>
  <c r="I151" i="8"/>
  <c r="I147" i="7"/>
  <c r="I144" i="7"/>
  <c r="I145" i="7"/>
  <c r="I143" i="7"/>
  <c r="F174" i="25"/>
  <c r="F188" i="25"/>
  <c r="F187" i="25"/>
  <c r="F186" i="25"/>
  <c r="F183" i="25"/>
  <c r="F180" i="25"/>
  <c r="F177" i="25"/>
  <c r="F152" i="25"/>
  <c r="I152" i="25" s="1"/>
  <c r="G152" i="25"/>
  <c r="H152" i="25"/>
  <c r="F151" i="25"/>
  <c r="G151" i="25"/>
  <c r="H151" i="25"/>
  <c r="F150" i="25"/>
  <c r="G150" i="25"/>
  <c r="H150" i="25"/>
  <c r="I150" i="25" s="1"/>
  <c r="F126" i="25"/>
  <c r="G126" i="25"/>
  <c r="H126" i="25"/>
  <c r="F124" i="25"/>
  <c r="I124" i="25" s="1"/>
  <c r="G124" i="25"/>
  <c r="H124" i="25"/>
  <c r="F123" i="25"/>
  <c r="I123" i="25" s="1"/>
  <c r="G123" i="25"/>
  <c r="H123" i="25"/>
  <c r="F122" i="25"/>
  <c r="G122" i="25"/>
  <c r="H122" i="25"/>
  <c r="F121" i="25"/>
  <c r="G121" i="25"/>
  <c r="I121" i="25" s="1"/>
  <c r="H121" i="25"/>
  <c r="F120" i="25"/>
  <c r="I120" i="25" s="1"/>
  <c r="G120" i="25"/>
  <c r="H120" i="25"/>
  <c r="F119" i="25"/>
  <c r="G119" i="25"/>
  <c r="I119" i="25" s="1"/>
  <c r="H119" i="25"/>
  <c r="F111" i="25"/>
  <c r="G111" i="25"/>
  <c r="I111" i="25"/>
  <c r="F112" i="25"/>
  <c r="I112" i="25" s="1"/>
  <c r="G112" i="25"/>
  <c r="F113" i="25"/>
  <c r="G113" i="25"/>
  <c r="I114" i="25"/>
  <c r="I115" i="25"/>
  <c r="I116" i="25"/>
  <c r="H111" i="25"/>
  <c r="H112" i="25"/>
  <c r="H113" i="25"/>
  <c r="H114" i="25"/>
  <c r="H115" i="25"/>
  <c r="H116" i="25"/>
  <c r="G114" i="25"/>
  <c r="G115" i="25"/>
  <c r="G116" i="25"/>
  <c r="F114" i="25"/>
  <c r="F115" i="25"/>
  <c r="F116" i="25"/>
  <c r="H106" i="25"/>
  <c r="F100" i="25"/>
  <c r="G100" i="25"/>
  <c r="F101" i="25"/>
  <c r="G101" i="25"/>
  <c r="F102" i="25"/>
  <c r="I102" i="25" s="1"/>
  <c r="G102" i="25"/>
  <c r="F103" i="25"/>
  <c r="G103" i="25"/>
  <c r="I103" i="25" s="1"/>
  <c r="F104" i="25"/>
  <c r="G104" i="25"/>
  <c r="F105" i="25"/>
  <c r="I105" i="25" s="1"/>
  <c r="G105" i="25"/>
  <c r="F92" i="25"/>
  <c r="I92" i="25" s="1"/>
  <c r="G92" i="25"/>
  <c r="F93" i="25"/>
  <c r="I93" i="25" s="1"/>
  <c r="G93" i="25"/>
  <c r="F94" i="25"/>
  <c r="G94" i="25"/>
  <c r="F95" i="25"/>
  <c r="G95" i="25"/>
  <c r="F96" i="25"/>
  <c r="I96" i="25" s="1"/>
  <c r="G96" i="25"/>
  <c r="H97" i="25"/>
  <c r="I97" i="25" s="1"/>
  <c r="F87" i="25"/>
  <c r="I87" i="25" s="1"/>
  <c r="G87" i="25"/>
  <c r="F88" i="25"/>
  <c r="G88" i="25"/>
  <c r="H89" i="25"/>
  <c r="H90" i="25" s="1"/>
  <c r="I89" i="25"/>
  <c r="G82" i="25"/>
  <c r="F82" i="25"/>
  <c r="I65" i="7"/>
  <c r="F72" i="7"/>
  <c r="G72" i="7"/>
  <c r="I72" i="7"/>
  <c r="J72" i="7"/>
  <c r="F74" i="25"/>
  <c r="F81" i="25" s="1"/>
  <c r="F75" i="25"/>
  <c r="F76" i="25"/>
  <c r="F77" i="25"/>
  <c r="G74" i="25"/>
  <c r="G75" i="25"/>
  <c r="G76" i="25"/>
  <c r="G77" i="25"/>
  <c r="F78" i="25"/>
  <c r="I78" i="25" s="1"/>
  <c r="G78" i="25"/>
  <c r="H79" i="25"/>
  <c r="I79" i="25" s="1"/>
  <c r="H74" i="25"/>
  <c r="H75" i="25"/>
  <c r="H76" i="25"/>
  <c r="H77" i="25"/>
  <c r="H78" i="25"/>
  <c r="I69" i="25"/>
  <c r="H69" i="25"/>
  <c r="G69" i="25"/>
  <c r="F69" i="25"/>
  <c r="F57" i="25"/>
  <c r="G57" i="25"/>
  <c r="I57" i="25"/>
  <c r="F58" i="25"/>
  <c r="F63" i="25" s="1"/>
  <c r="G58" i="25"/>
  <c r="F59" i="25"/>
  <c r="G59" i="25"/>
  <c r="F60" i="25"/>
  <c r="I60" i="25" s="1"/>
  <c r="G60" i="25"/>
  <c r="F61" i="25"/>
  <c r="I61" i="25" s="1"/>
  <c r="G61" i="25"/>
  <c r="F49" i="25"/>
  <c r="I49" i="25" s="1"/>
  <c r="G49" i="25"/>
  <c r="F50" i="25"/>
  <c r="G50" i="25"/>
  <c r="I50" i="25" s="1"/>
  <c r="F51" i="25"/>
  <c r="G51" i="25"/>
  <c r="F52" i="25"/>
  <c r="G52" i="25"/>
  <c r="I52" i="25"/>
  <c r="F53" i="25"/>
  <c r="G53" i="25"/>
  <c r="H54" i="25"/>
  <c r="I54" i="25" s="1"/>
  <c r="H57" i="25"/>
  <c r="H58" i="25"/>
  <c r="H59" i="25"/>
  <c r="H60" i="25"/>
  <c r="H61" i="25"/>
  <c r="H62" i="25"/>
  <c r="H49" i="25"/>
  <c r="H50" i="25"/>
  <c r="H51" i="25"/>
  <c r="H52" i="25"/>
  <c r="H53" i="25"/>
  <c r="F44" i="25"/>
  <c r="G44" i="25"/>
  <c r="H44" i="25"/>
  <c r="F43" i="25"/>
  <c r="G43" i="25"/>
  <c r="H43" i="25"/>
  <c r="F26" i="25"/>
  <c r="F27" i="25"/>
  <c r="I27" i="25" s="1"/>
  <c r="F28" i="25"/>
  <c r="F29" i="25"/>
  <c r="F30" i="25"/>
  <c r="I30" i="25" s="1"/>
  <c r="G26" i="25"/>
  <c r="G27" i="25"/>
  <c r="G28" i="25"/>
  <c r="G29" i="25"/>
  <c r="G30" i="25"/>
  <c r="H32" i="25"/>
  <c r="H30" i="25"/>
  <c r="H29" i="25"/>
  <c r="H28" i="25"/>
  <c r="H27" i="25"/>
  <c r="H26" i="25"/>
  <c r="F18" i="25"/>
  <c r="F19" i="25"/>
  <c r="F20" i="25"/>
  <c r="F21" i="25"/>
  <c r="F22" i="25"/>
  <c r="G18" i="25"/>
  <c r="G19" i="25"/>
  <c r="G20" i="25"/>
  <c r="I20" i="25" s="1"/>
  <c r="G21" i="25"/>
  <c r="G22" i="25"/>
  <c r="I22" i="25" s="1"/>
  <c r="H23" i="25"/>
  <c r="H24" i="25"/>
  <c r="I23" i="25"/>
  <c r="H22" i="25"/>
  <c r="H21" i="25"/>
  <c r="H20" i="25"/>
  <c r="H19" i="25"/>
  <c r="H18" i="25"/>
  <c r="I11" i="25"/>
  <c r="H11" i="25"/>
  <c r="G11" i="25"/>
  <c r="G12" i="25" s="1"/>
  <c r="F11" i="25"/>
  <c r="F6" i="25"/>
  <c r="F5" i="25"/>
  <c r="F182" i="8"/>
  <c r="I141" i="8"/>
  <c r="I140" i="8"/>
  <c r="I139" i="8"/>
  <c r="I138" i="8"/>
  <c r="I137" i="8"/>
  <c r="I136" i="8"/>
  <c r="I142" i="8"/>
  <c r="H142" i="8"/>
  <c r="G142" i="8"/>
  <c r="F142" i="8"/>
  <c r="I130" i="8"/>
  <c r="I129" i="8"/>
  <c r="I134" i="8"/>
  <c r="H134" i="8"/>
  <c r="G134" i="8"/>
  <c r="F134" i="8"/>
  <c r="I124" i="8"/>
  <c r="H124" i="8"/>
  <c r="G124" i="8"/>
  <c r="F124" i="8"/>
  <c r="I120" i="8"/>
  <c r="I119" i="8"/>
  <c r="I118" i="8"/>
  <c r="I110" i="8"/>
  <c r="I111" i="8"/>
  <c r="I112" i="8"/>
  <c r="I116" i="8"/>
  <c r="H116" i="8"/>
  <c r="G116" i="8"/>
  <c r="F116" i="8"/>
  <c r="I105" i="8"/>
  <c r="I104" i="8"/>
  <c r="I103" i="8"/>
  <c r="I102" i="8"/>
  <c r="I101" i="8"/>
  <c r="I100" i="8"/>
  <c r="I106" i="8"/>
  <c r="G106" i="8"/>
  <c r="F106" i="8"/>
  <c r="I97" i="8"/>
  <c r="I96" i="8"/>
  <c r="I95" i="8"/>
  <c r="I94" i="8"/>
  <c r="I93" i="8"/>
  <c r="I92" i="8"/>
  <c r="I98" i="8"/>
  <c r="G98" i="8"/>
  <c r="F98" i="8"/>
  <c r="I88" i="8"/>
  <c r="I87" i="8"/>
  <c r="I90" i="8"/>
  <c r="G90" i="8"/>
  <c r="F90" i="8"/>
  <c r="F82" i="8"/>
  <c r="G82" i="8"/>
  <c r="I82" i="8"/>
  <c r="I79" i="8"/>
  <c r="I78" i="8"/>
  <c r="I77" i="8"/>
  <c r="I76" i="8"/>
  <c r="I75" i="8"/>
  <c r="I81" i="8"/>
  <c r="G81" i="8"/>
  <c r="F81" i="8"/>
  <c r="I70" i="8"/>
  <c r="I58" i="8"/>
  <c r="I59" i="8"/>
  <c r="I60" i="8"/>
  <c r="I64" i="8"/>
  <c r="F49" i="8"/>
  <c r="G49" i="8"/>
  <c r="I49" i="8"/>
  <c r="F57" i="8"/>
  <c r="G57" i="8"/>
  <c r="I57" i="8"/>
  <c r="I65" i="8"/>
  <c r="H65" i="8"/>
  <c r="G65" i="8"/>
  <c r="F65" i="8"/>
  <c r="G64" i="8"/>
  <c r="F64" i="8"/>
  <c r="I56" i="8"/>
  <c r="G56" i="8"/>
  <c r="F56" i="8"/>
  <c r="I52" i="8"/>
  <c r="I51" i="8"/>
  <c r="I50" i="8"/>
  <c r="I44" i="8"/>
  <c r="F39" i="8"/>
  <c r="G39" i="8"/>
  <c r="I39" i="8"/>
  <c r="G25" i="8"/>
  <c r="G17" i="8"/>
  <c r="F17" i="8"/>
  <c r="F25" i="8"/>
  <c r="I28" i="8"/>
  <c r="I27" i="8"/>
  <c r="I26" i="8"/>
  <c r="I32" i="8"/>
  <c r="F32" i="8"/>
  <c r="I25" i="8"/>
  <c r="I20" i="8"/>
  <c r="I19" i="8"/>
  <c r="I18" i="8"/>
  <c r="I17" i="8"/>
  <c r="I24" i="8"/>
  <c r="G24" i="8"/>
  <c r="F24" i="8"/>
  <c r="I12" i="8"/>
  <c r="I11" i="8"/>
  <c r="F178" i="7"/>
  <c r="I137" i="7"/>
  <c r="I136" i="7"/>
  <c r="I135" i="7"/>
  <c r="I134" i="7"/>
  <c r="I138" i="7"/>
  <c r="H138" i="7"/>
  <c r="G138" i="7"/>
  <c r="F138" i="7"/>
  <c r="F129" i="7"/>
  <c r="G129" i="7"/>
  <c r="H129" i="7"/>
  <c r="I129" i="7"/>
  <c r="I128" i="7"/>
  <c r="I127" i="7"/>
  <c r="I126" i="7"/>
  <c r="I125" i="7"/>
  <c r="I124" i="7"/>
  <c r="I123" i="7"/>
  <c r="I122" i="7"/>
  <c r="I119" i="7"/>
  <c r="I118" i="7"/>
  <c r="I117" i="7"/>
  <c r="I116" i="7"/>
  <c r="I120" i="7"/>
  <c r="H120" i="7"/>
  <c r="G120" i="7"/>
  <c r="F120" i="7"/>
  <c r="H112" i="7"/>
  <c r="G112" i="7"/>
  <c r="F112" i="7"/>
  <c r="I112" i="7"/>
  <c r="I110" i="7"/>
  <c r="I109" i="7"/>
  <c r="I108" i="7"/>
  <c r="I107" i="7"/>
  <c r="I106" i="7"/>
  <c r="I105" i="7"/>
  <c r="I99" i="7"/>
  <c r="I101" i="7"/>
  <c r="I103" i="7"/>
  <c r="H103" i="7"/>
  <c r="G103" i="7"/>
  <c r="F103" i="7"/>
  <c r="I100" i="7"/>
  <c r="I102" i="7"/>
  <c r="I94" i="7"/>
  <c r="I93" i="7"/>
  <c r="I92" i="7"/>
  <c r="I91" i="7"/>
  <c r="I90" i="7"/>
  <c r="I89" i="7"/>
  <c r="I88" i="7"/>
  <c r="I95" i="7"/>
  <c r="H95" i="7"/>
  <c r="G95" i="7"/>
  <c r="F95" i="7"/>
  <c r="G86" i="7"/>
  <c r="F86" i="7"/>
  <c r="I82" i="7"/>
  <c r="I83" i="7"/>
  <c r="I84" i="7"/>
  <c r="I85" i="7"/>
  <c r="I86" i="7"/>
  <c r="I79" i="7"/>
  <c r="I78" i="7"/>
  <c r="I77" i="7"/>
  <c r="I80" i="7"/>
  <c r="G80" i="7"/>
  <c r="F80" i="7"/>
  <c r="I70" i="7"/>
  <c r="I69" i="7"/>
  <c r="I68" i="7"/>
  <c r="I67" i="7"/>
  <c r="I66" i="7"/>
  <c r="I71" i="7"/>
  <c r="H71" i="7"/>
  <c r="G71" i="7"/>
  <c r="F71" i="7"/>
  <c r="I60" i="7"/>
  <c r="H54" i="7"/>
  <c r="G54" i="7"/>
  <c r="F54" i="7"/>
  <c r="I50" i="7"/>
  <c r="I51" i="7"/>
  <c r="I53" i="7"/>
  <c r="I54" i="7"/>
  <c r="I49" i="7"/>
  <c r="M49" i="7"/>
  <c r="N49" i="7"/>
  <c r="H48" i="7"/>
  <c r="G48" i="7"/>
  <c r="F48" i="7"/>
  <c r="I44" i="7"/>
  <c r="I45" i="7"/>
  <c r="I46" i="7"/>
  <c r="I47" i="7"/>
  <c r="I48" i="7"/>
  <c r="I43" i="7"/>
  <c r="I39" i="7"/>
  <c r="I38" i="7"/>
  <c r="I26" i="7"/>
  <c r="I28" i="7"/>
  <c r="H28" i="7"/>
  <c r="G28" i="7"/>
  <c r="F28" i="7"/>
  <c r="I24" i="7"/>
  <c r="I25" i="7"/>
  <c r="I27" i="7"/>
  <c r="I21" i="7"/>
  <c r="I20" i="7"/>
  <c r="I19" i="7"/>
  <c r="I18" i="7"/>
  <c r="I22" i="7"/>
  <c r="H22" i="7"/>
  <c r="G22" i="7"/>
  <c r="F22" i="7"/>
  <c r="M11" i="7"/>
  <c r="M11" i="8"/>
  <c r="M11" i="25"/>
  <c r="M12" i="25" s="1"/>
  <c r="G10" i="23"/>
  <c r="G12" i="22" s="1"/>
  <c r="G11" i="23"/>
  <c r="G13" i="22"/>
  <c r="G15" i="24"/>
  <c r="G10" i="24" s="1"/>
  <c r="G15" i="22"/>
  <c r="G16" i="23"/>
  <c r="G19" i="22" s="1"/>
  <c r="G17" i="22" s="1"/>
  <c r="G20" i="22"/>
  <c r="K10" i="22"/>
  <c r="K17" i="22"/>
  <c r="K6" i="22"/>
  <c r="L138" i="7"/>
  <c r="L103" i="7"/>
  <c r="L86" i="7"/>
  <c r="L80" i="7"/>
  <c r="L54" i="7"/>
  <c r="L28" i="7"/>
  <c r="L22" i="7"/>
  <c r="L32" i="8"/>
  <c r="L24" i="8"/>
  <c r="L142" i="8"/>
  <c r="L134" i="8"/>
  <c r="L124" i="8"/>
  <c r="L116" i="8"/>
  <c r="L98" i="8"/>
  <c r="L90" i="8"/>
  <c r="L81" i="8"/>
  <c r="M137" i="7"/>
  <c r="M136" i="7"/>
  <c r="M135" i="7"/>
  <c r="M134" i="7"/>
  <c r="J57" i="25"/>
  <c r="J58" i="25"/>
  <c r="J59" i="25"/>
  <c r="M59" i="25" s="1"/>
  <c r="J60" i="25"/>
  <c r="J61" i="25"/>
  <c r="G22" i="22"/>
  <c r="M138" i="7"/>
  <c r="H52" i="9"/>
  <c r="I52" i="9"/>
  <c r="J52" i="9"/>
  <c r="K52" i="9"/>
  <c r="L52" i="9"/>
  <c r="M52" i="9"/>
  <c r="N52" i="9"/>
  <c r="J53" i="9"/>
  <c r="M53" i="9"/>
  <c r="H54" i="9"/>
  <c r="I54" i="9"/>
  <c r="J54" i="9"/>
  <c r="L54" i="9"/>
  <c r="M54" i="9"/>
  <c r="N54" i="9"/>
  <c r="M10" i="22"/>
  <c r="J10" i="22"/>
  <c r="H23" i="24"/>
  <c r="H8" i="37"/>
  <c r="I8" i="37"/>
  <c r="J8" i="37"/>
  <c r="K8" i="37"/>
  <c r="L8" i="37"/>
  <c r="M8" i="37"/>
  <c r="N8" i="37"/>
  <c r="N23" i="24"/>
  <c r="M23" i="24"/>
  <c r="L23" i="24"/>
  <c r="K23" i="24"/>
  <c r="J23" i="24"/>
  <c r="I23" i="24"/>
  <c r="I25" i="9"/>
  <c r="I27" i="9"/>
  <c r="I32" i="9" s="1"/>
  <c r="I28" i="9"/>
  <c r="I29" i="9"/>
  <c r="I30" i="9"/>
  <c r="I31" i="9"/>
  <c r="I24" i="9"/>
  <c r="H27" i="9"/>
  <c r="H28" i="9"/>
  <c r="H33" i="9" s="1"/>
  <c r="H29" i="9"/>
  <c r="H30" i="9"/>
  <c r="H31" i="9"/>
  <c r="H25" i="9"/>
  <c r="H24" i="9"/>
  <c r="J21" i="9"/>
  <c r="K21" i="9"/>
  <c r="L21" i="9"/>
  <c r="M21" i="9"/>
  <c r="N21" i="9"/>
  <c r="I21" i="9"/>
  <c r="H21" i="9"/>
  <c r="G21" i="9"/>
  <c r="N19" i="9"/>
  <c r="N7" i="9"/>
  <c r="N6" i="9"/>
  <c r="G25" i="9"/>
  <c r="G27" i="9"/>
  <c r="G33" i="9" s="1"/>
  <c r="G28" i="9"/>
  <c r="G29" i="9"/>
  <c r="G30" i="9"/>
  <c r="G31" i="9"/>
  <c r="G24" i="9"/>
  <c r="I33" i="26"/>
  <c r="H33" i="26"/>
  <c r="I32" i="26"/>
  <c r="H32" i="26"/>
  <c r="G33" i="26"/>
  <c r="G32" i="26"/>
  <c r="H12" i="9"/>
  <c r="H11" i="9"/>
  <c r="I11" i="9"/>
  <c r="H10" i="9"/>
  <c r="I10" i="9"/>
  <c r="G11" i="10"/>
  <c r="G10" i="10"/>
  <c r="G11" i="9"/>
  <c r="G10" i="9"/>
  <c r="G44" i="23"/>
  <c r="G43" i="23"/>
  <c r="I14" i="23"/>
  <c r="I6" i="23" s="1"/>
  <c r="H46" i="23"/>
  <c r="H18" i="10" s="1"/>
  <c r="H45" i="23"/>
  <c r="I45" i="23"/>
  <c r="J45" i="23"/>
  <c r="K45" i="23"/>
  <c r="L45" i="23"/>
  <c r="M45" i="23"/>
  <c r="M47" i="23"/>
  <c r="I46" i="23"/>
  <c r="I7" i="9" s="1"/>
  <c r="J46" i="23"/>
  <c r="J8" i="9" s="1"/>
  <c r="K46" i="23"/>
  <c r="K6" i="9" s="1"/>
  <c r="L46" i="23"/>
  <c r="L16" i="10" s="1"/>
  <c r="M46" i="23"/>
  <c r="G21" i="22"/>
  <c r="J32" i="26"/>
  <c r="K32" i="26"/>
  <c r="L32" i="26"/>
  <c r="M32" i="26"/>
  <c r="N32" i="26"/>
  <c r="J33" i="26"/>
  <c r="K33" i="26"/>
  <c r="L33" i="26"/>
  <c r="M33" i="26"/>
  <c r="N33" i="26"/>
  <c r="G12" i="13"/>
  <c r="G17" i="13" s="1"/>
  <c r="N8" i="9"/>
  <c r="G32" i="9"/>
  <c r="M116" i="25"/>
  <c r="K116" i="25"/>
  <c r="J116" i="25"/>
  <c r="G54" i="13"/>
  <c r="G8" i="13"/>
  <c r="J174" i="25"/>
  <c r="L120" i="7"/>
  <c r="J74" i="25"/>
  <c r="J75" i="25"/>
  <c r="J76" i="25"/>
  <c r="J80" i="25" s="1"/>
  <c r="J77" i="25"/>
  <c r="K74" i="25"/>
  <c r="K75" i="25"/>
  <c r="K76" i="25"/>
  <c r="K77" i="25"/>
  <c r="M75" i="8"/>
  <c r="M76" i="8"/>
  <c r="M77" i="8"/>
  <c r="M78" i="8"/>
  <c r="M66" i="7"/>
  <c r="M67" i="7"/>
  <c r="M68" i="7"/>
  <c r="K25" i="8"/>
  <c r="K17" i="8"/>
  <c r="J25" i="8"/>
  <c r="M25" i="8"/>
  <c r="J17" i="8"/>
  <c r="J49" i="25"/>
  <c r="J55" i="25" s="1"/>
  <c r="J50" i="25"/>
  <c r="J51" i="25"/>
  <c r="M51" i="25" s="1"/>
  <c r="J52" i="25"/>
  <c r="J53" i="25"/>
  <c r="K57" i="25"/>
  <c r="K58" i="25"/>
  <c r="M58" i="25" s="1"/>
  <c r="K59" i="25"/>
  <c r="K60" i="25"/>
  <c r="M60" i="25" s="1"/>
  <c r="K61" i="25"/>
  <c r="K49" i="25"/>
  <c r="K55" i="25" s="1"/>
  <c r="K50" i="25"/>
  <c r="M50" i="25" s="1"/>
  <c r="K51" i="25"/>
  <c r="K52" i="25"/>
  <c r="K53" i="25"/>
  <c r="L57" i="25"/>
  <c r="L58" i="25"/>
  <c r="L59" i="25"/>
  <c r="L60" i="25"/>
  <c r="L61" i="25"/>
  <c r="L62" i="25"/>
  <c r="L49" i="25"/>
  <c r="L50" i="25"/>
  <c r="L51" i="25"/>
  <c r="L52" i="25"/>
  <c r="L53" i="25"/>
  <c r="L54" i="25"/>
  <c r="M44" i="8"/>
  <c r="J57" i="8"/>
  <c r="L65" i="8"/>
  <c r="J180" i="25"/>
  <c r="G67" i="13"/>
  <c r="M153" i="25"/>
  <c r="J183" i="25"/>
  <c r="J185" i="25" s="1"/>
  <c r="J150" i="25"/>
  <c r="M150" i="25" s="1"/>
  <c r="K150" i="25"/>
  <c r="L150" i="25"/>
  <c r="K138" i="25"/>
  <c r="K139" i="25"/>
  <c r="K140" i="25"/>
  <c r="K141" i="25"/>
  <c r="K142" i="25"/>
  <c r="K143" i="25"/>
  <c r="J143" i="25"/>
  <c r="M143" i="25" s="1"/>
  <c r="J138" i="25"/>
  <c r="J139" i="25"/>
  <c r="J140" i="25"/>
  <c r="M140" i="25" s="1"/>
  <c r="J141" i="25"/>
  <c r="J142" i="25"/>
  <c r="L144" i="25"/>
  <c r="M144" i="25" s="1"/>
  <c r="L139" i="25"/>
  <c r="L140" i="25"/>
  <c r="L141" i="25"/>
  <c r="L142" i="25"/>
  <c r="L143" i="25"/>
  <c r="L138" i="25"/>
  <c r="L135" i="25"/>
  <c r="M135" i="25" s="1"/>
  <c r="M106" i="25"/>
  <c r="J100" i="25"/>
  <c r="K100" i="25"/>
  <c r="J101" i="25"/>
  <c r="M101" i="25" s="1"/>
  <c r="K101" i="25"/>
  <c r="J102" i="25"/>
  <c r="M102" i="25" s="1"/>
  <c r="K102" i="25"/>
  <c r="J103" i="25"/>
  <c r="M103" i="25" s="1"/>
  <c r="K103" i="25"/>
  <c r="J104" i="25"/>
  <c r="K104" i="25"/>
  <c r="M104" i="25"/>
  <c r="J105" i="25"/>
  <c r="K105" i="25"/>
  <c r="L107" i="25"/>
  <c r="M82" i="25"/>
  <c r="L44" i="25"/>
  <c r="L43" i="25"/>
  <c r="L129" i="7"/>
  <c r="G15" i="13"/>
  <c r="J182" i="8"/>
  <c r="J185" i="8"/>
  <c r="M118" i="8"/>
  <c r="M119" i="8"/>
  <c r="M120" i="8"/>
  <c r="M121" i="8"/>
  <c r="M122" i="8"/>
  <c r="M123" i="8"/>
  <c r="K124" i="8"/>
  <c r="J124" i="8"/>
  <c r="M136" i="8"/>
  <c r="M137" i="8"/>
  <c r="M138" i="8"/>
  <c r="M139" i="8"/>
  <c r="M140" i="8"/>
  <c r="M141" i="8"/>
  <c r="K142" i="8"/>
  <c r="J142" i="8"/>
  <c r="J64" i="8"/>
  <c r="J181" i="7"/>
  <c r="J178" i="7"/>
  <c r="M128" i="7"/>
  <c r="K129" i="7"/>
  <c r="J129" i="7"/>
  <c r="M94" i="7"/>
  <c r="M88" i="7"/>
  <c r="M89" i="7"/>
  <c r="M90" i="7"/>
  <c r="M91" i="7"/>
  <c r="M92" i="7"/>
  <c r="M93" i="7"/>
  <c r="L95" i="7"/>
  <c r="L71" i="7"/>
  <c r="M55" i="7"/>
  <c r="M43" i="7"/>
  <c r="M39" i="7"/>
  <c r="M38" i="7"/>
  <c r="M33" i="7"/>
  <c r="M30" i="7"/>
  <c r="M29" i="7"/>
  <c r="M23" i="7"/>
  <c r="M17" i="7"/>
  <c r="J12" i="7"/>
  <c r="H17" i="13"/>
  <c r="L97" i="25"/>
  <c r="K96" i="25"/>
  <c r="J96" i="25"/>
  <c r="M96" i="25"/>
  <c r="K95" i="25"/>
  <c r="J95" i="25"/>
  <c r="K94" i="25"/>
  <c r="M94" i="25" s="1"/>
  <c r="K93" i="25"/>
  <c r="J93" i="25"/>
  <c r="J92" i="25"/>
  <c r="J94" i="25"/>
  <c r="K92" i="25"/>
  <c r="M101" i="8"/>
  <c r="M102" i="8"/>
  <c r="M103" i="8"/>
  <c r="M104" i="8"/>
  <c r="M105" i="8"/>
  <c r="M100" i="8"/>
  <c r="K106" i="8"/>
  <c r="L106" i="8"/>
  <c r="J106" i="8"/>
  <c r="M92" i="8"/>
  <c r="M93" i="8"/>
  <c r="M94" i="8"/>
  <c r="M95" i="8"/>
  <c r="M96" i="8"/>
  <c r="M97" i="8"/>
  <c r="M98" i="8"/>
  <c r="K98" i="8"/>
  <c r="J98" i="8"/>
  <c r="K112" i="7"/>
  <c r="K126" i="25"/>
  <c r="L112" i="7"/>
  <c r="L126" i="25"/>
  <c r="J112" i="7"/>
  <c r="M112" i="7"/>
  <c r="K95" i="7"/>
  <c r="J95" i="7"/>
  <c r="M82" i="7"/>
  <c r="M85" i="7"/>
  <c r="M83" i="7"/>
  <c r="M84" i="7"/>
  <c r="M86" i="7"/>
  <c r="M77" i="7"/>
  <c r="M78" i="7"/>
  <c r="K86" i="7"/>
  <c r="J86" i="7"/>
  <c r="H15" i="13"/>
  <c r="M21" i="7"/>
  <c r="N48" i="7"/>
  <c r="P11" i="7"/>
  <c r="O12" i="7"/>
  <c r="N22" i="7"/>
  <c r="N17" i="7"/>
  <c r="N54" i="7"/>
  <c r="O54" i="7"/>
  <c r="O49" i="7"/>
  <c r="O48" i="7"/>
  <c r="M73" i="7"/>
  <c r="Q188" i="25"/>
  <c r="T188" i="25"/>
  <c r="W188" i="25"/>
  <c r="Z188" i="25"/>
  <c r="AC188" i="25"/>
  <c r="Q187" i="25"/>
  <c r="T187" i="25"/>
  <c r="W187" i="25"/>
  <c r="Z187" i="25"/>
  <c r="AC187" i="25"/>
  <c r="Q186" i="25"/>
  <c r="T186" i="25"/>
  <c r="W186" i="25"/>
  <c r="Z186" i="25"/>
  <c r="AC186" i="25"/>
  <c r="Q185" i="25"/>
  <c r="T185" i="25"/>
  <c r="W185" i="25"/>
  <c r="Z185" i="25"/>
  <c r="AC185" i="25"/>
  <c r="Q184" i="25"/>
  <c r="T184" i="25"/>
  <c r="W184" i="25"/>
  <c r="Z184" i="25"/>
  <c r="AC184" i="25"/>
  <c r="Q183" i="25"/>
  <c r="T183" i="25"/>
  <c r="W183" i="25"/>
  <c r="Z183" i="25"/>
  <c r="AC183" i="25"/>
  <c r="N184" i="25"/>
  <c r="N186" i="25"/>
  <c r="N187" i="25"/>
  <c r="N188" i="25"/>
  <c r="J186" i="25"/>
  <c r="J187" i="25"/>
  <c r="N183" i="25"/>
  <c r="Q180" i="25"/>
  <c r="T180" i="25"/>
  <c r="W180" i="25"/>
  <c r="Z180" i="25"/>
  <c r="AC180" i="25"/>
  <c r="N180" i="25"/>
  <c r="Q177" i="25"/>
  <c r="T177" i="25"/>
  <c r="W177" i="25"/>
  <c r="Z177" i="25"/>
  <c r="AC177" i="25"/>
  <c r="N177" i="25"/>
  <c r="J177" i="25"/>
  <c r="K152" i="25"/>
  <c r="J152" i="25"/>
  <c r="L152" i="25"/>
  <c r="K151" i="25"/>
  <c r="L151" i="25"/>
  <c r="J151" i="25"/>
  <c r="K134" i="25"/>
  <c r="L134" i="25"/>
  <c r="K133" i="25"/>
  <c r="L133" i="25"/>
  <c r="J134" i="25"/>
  <c r="J133" i="25"/>
  <c r="K132" i="25"/>
  <c r="L132" i="25"/>
  <c r="K131" i="25"/>
  <c r="L131" i="25"/>
  <c r="K130" i="25"/>
  <c r="M130" i="25" s="1"/>
  <c r="L130" i="25"/>
  <c r="J131" i="25"/>
  <c r="J132" i="25"/>
  <c r="J130" i="25"/>
  <c r="K124" i="25"/>
  <c r="J124" i="25"/>
  <c r="M124" i="25" s="1"/>
  <c r="L124" i="25"/>
  <c r="K123" i="25"/>
  <c r="L123" i="25"/>
  <c r="K122" i="25"/>
  <c r="L122" i="25"/>
  <c r="K121" i="25"/>
  <c r="L121" i="25"/>
  <c r="K120" i="25"/>
  <c r="L120" i="25"/>
  <c r="K119" i="25"/>
  <c r="J119" i="25"/>
  <c r="M119" i="25" s="1"/>
  <c r="L119" i="25"/>
  <c r="J120" i="25"/>
  <c r="M120" i="25" s="1"/>
  <c r="J121" i="25"/>
  <c r="J122" i="25"/>
  <c r="J123" i="25"/>
  <c r="M123" i="25" s="1"/>
  <c r="L116" i="25"/>
  <c r="K115" i="25"/>
  <c r="L115" i="25"/>
  <c r="M115" i="25"/>
  <c r="K114" i="25"/>
  <c r="L114" i="25"/>
  <c r="M114" i="25"/>
  <c r="J115" i="25"/>
  <c r="J114" i="25"/>
  <c r="K113" i="25"/>
  <c r="J113" i="25"/>
  <c r="M113" i="25" s="1"/>
  <c r="L113" i="25"/>
  <c r="K112" i="25"/>
  <c r="M112" i="25" s="1"/>
  <c r="L112" i="25"/>
  <c r="K111" i="25"/>
  <c r="L111" i="25"/>
  <c r="J112" i="25"/>
  <c r="J111" i="25"/>
  <c r="L89" i="25"/>
  <c r="L90" i="25" s="1"/>
  <c r="K88" i="25"/>
  <c r="K87" i="25"/>
  <c r="K90" i="25"/>
  <c r="J88" i="25"/>
  <c r="M88" i="25" s="1"/>
  <c r="J87" i="25"/>
  <c r="M87" i="25" s="1"/>
  <c r="L79" i="25"/>
  <c r="M79" i="25" s="1"/>
  <c r="L74" i="25"/>
  <c r="L75" i="25"/>
  <c r="L76" i="25"/>
  <c r="L77" i="25"/>
  <c r="K78" i="25"/>
  <c r="L78" i="25"/>
  <c r="J78" i="25"/>
  <c r="M78" i="25" s="1"/>
  <c r="K69" i="25"/>
  <c r="L69" i="25"/>
  <c r="J69" i="25"/>
  <c r="K44" i="25"/>
  <c r="J44" i="25"/>
  <c r="K43" i="25"/>
  <c r="J43" i="25"/>
  <c r="K39" i="25"/>
  <c r="K38" i="25"/>
  <c r="J39" i="25"/>
  <c r="M39" i="25" s="1"/>
  <c r="J38" i="25"/>
  <c r="N34" i="25"/>
  <c r="O34" i="25" s="1"/>
  <c r="K30" i="25"/>
  <c r="J30" i="25"/>
  <c r="L30" i="25"/>
  <c r="K29" i="25"/>
  <c r="L29" i="25"/>
  <c r="J29" i="25"/>
  <c r="K28" i="25"/>
  <c r="L28" i="25"/>
  <c r="K27" i="25"/>
  <c r="L27" i="25"/>
  <c r="J27" i="25"/>
  <c r="J28" i="25"/>
  <c r="K26" i="25"/>
  <c r="J26" i="25"/>
  <c r="M26" i="25"/>
  <c r="L26" i="25"/>
  <c r="L23" i="25"/>
  <c r="M23" i="25" s="1"/>
  <c r="K22" i="25"/>
  <c r="L22" i="25"/>
  <c r="J22" i="25"/>
  <c r="K21" i="25"/>
  <c r="L21" i="25"/>
  <c r="J21" i="25"/>
  <c r="M21" i="25" s="1"/>
  <c r="K20" i="25"/>
  <c r="J20" i="25"/>
  <c r="L20" i="25"/>
  <c r="K19" i="25"/>
  <c r="K18" i="25"/>
  <c r="L19" i="25"/>
  <c r="J19" i="25"/>
  <c r="L18" i="25"/>
  <c r="J18" i="25"/>
  <c r="K11" i="25"/>
  <c r="L11" i="25"/>
  <c r="J11" i="25"/>
  <c r="J6" i="25"/>
  <c r="Q6" i="25"/>
  <c r="T6" i="25"/>
  <c r="W6" i="25"/>
  <c r="Z6" i="25"/>
  <c r="AC6" i="25"/>
  <c r="N6" i="25"/>
  <c r="Q5" i="25"/>
  <c r="T5" i="25"/>
  <c r="W5" i="25"/>
  <c r="Z5" i="25"/>
  <c r="AC5" i="25"/>
  <c r="N5" i="25"/>
  <c r="J5" i="25"/>
  <c r="H54" i="26"/>
  <c r="I54" i="26"/>
  <c r="J54" i="26"/>
  <c r="L54" i="26"/>
  <c r="M54" i="26"/>
  <c r="N54" i="26"/>
  <c r="H53" i="26"/>
  <c r="J53" i="26"/>
  <c r="M53" i="26"/>
  <c r="H52" i="26"/>
  <c r="I52" i="26"/>
  <c r="J52" i="26"/>
  <c r="K52" i="26"/>
  <c r="L52" i="26"/>
  <c r="M52" i="26"/>
  <c r="N52" i="26"/>
  <c r="G53" i="26"/>
  <c r="G54" i="26"/>
  <c r="G52" i="26"/>
  <c r="H50" i="26"/>
  <c r="I50" i="26"/>
  <c r="J50" i="26"/>
  <c r="K50" i="26"/>
  <c r="L50" i="26"/>
  <c r="M50" i="26"/>
  <c r="N50" i="26"/>
  <c r="G50" i="26"/>
  <c r="G43" i="26"/>
  <c r="G39" i="26"/>
  <c r="G40" i="26"/>
  <c r="G38" i="26"/>
  <c r="N8" i="13"/>
  <c r="M8" i="13"/>
  <c r="L8" i="13"/>
  <c r="K8" i="13"/>
  <c r="J8" i="13"/>
  <c r="I8" i="13"/>
  <c r="H8" i="13"/>
  <c r="K134" i="8"/>
  <c r="J134" i="8"/>
  <c r="M130" i="8"/>
  <c r="M129" i="8"/>
  <c r="M128" i="8"/>
  <c r="K116" i="8"/>
  <c r="J116" i="8"/>
  <c r="M112" i="8"/>
  <c r="M111" i="8"/>
  <c r="M110" i="8"/>
  <c r="N178" i="7"/>
  <c r="N185" i="25"/>
  <c r="K138" i="7"/>
  <c r="J138" i="7"/>
  <c r="M127" i="7"/>
  <c r="M126" i="7"/>
  <c r="M125" i="7"/>
  <c r="M124" i="7"/>
  <c r="M123" i="7"/>
  <c r="M122" i="7"/>
  <c r="K120" i="7"/>
  <c r="J120" i="7"/>
  <c r="M119" i="7"/>
  <c r="M118" i="7"/>
  <c r="M117" i="7"/>
  <c r="M116" i="7"/>
  <c r="M110" i="7"/>
  <c r="M109" i="7"/>
  <c r="M108" i="7"/>
  <c r="M107" i="7"/>
  <c r="M106" i="7"/>
  <c r="M105" i="7"/>
  <c r="K103" i="7"/>
  <c r="J103" i="7"/>
  <c r="M102" i="7"/>
  <c r="M101" i="7"/>
  <c r="M100" i="7"/>
  <c r="M99" i="7"/>
  <c r="O28" i="7"/>
  <c r="N28" i="7"/>
  <c r="V17" i="7"/>
  <c r="V17" i="8"/>
  <c r="V25" i="8"/>
  <c r="V39" i="8"/>
  <c r="S23" i="7"/>
  <c r="S17" i="7"/>
  <c r="AH11" i="7"/>
  <c r="AF23" i="7"/>
  <c r="AG17" i="7"/>
  <c r="AE11" i="7"/>
  <c r="AD17" i="7"/>
  <c r="AB11" i="7"/>
  <c r="Z23" i="7"/>
  <c r="AB17" i="8"/>
  <c r="S11" i="7"/>
  <c r="Q12" i="7"/>
  <c r="L32" i="25"/>
  <c r="K90" i="8"/>
  <c r="J90" i="8"/>
  <c r="K80" i="7"/>
  <c r="J80" i="7"/>
  <c r="M79" i="7"/>
  <c r="M79" i="8"/>
  <c r="M81" i="8"/>
  <c r="K81" i="8"/>
  <c r="J81" i="8"/>
  <c r="L48" i="7"/>
  <c r="M58" i="8"/>
  <c r="M59" i="8"/>
  <c r="M60" i="8"/>
  <c r="K64" i="8"/>
  <c r="M50" i="8"/>
  <c r="M51" i="8"/>
  <c r="M52" i="8"/>
  <c r="M56" i="8"/>
  <c r="K56" i="8"/>
  <c r="J56" i="8"/>
  <c r="M26" i="8"/>
  <c r="M27" i="8"/>
  <c r="M28" i="8"/>
  <c r="K32" i="8"/>
  <c r="J32" i="8"/>
  <c r="M18" i="8"/>
  <c r="M19" i="8"/>
  <c r="M20" i="8"/>
  <c r="K24" i="8"/>
  <c r="J24" i="8"/>
  <c r="K22" i="7"/>
  <c r="J22" i="7"/>
  <c r="K71" i="7"/>
  <c r="J71" i="7"/>
  <c r="M65" i="7"/>
  <c r="M69" i="7"/>
  <c r="M70" i="7"/>
  <c r="M71" i="7"/>
  <c r="M50" i="7"/>
  <c r="M51" i="7"/>
  <c r="M53" i="7"/>
  <c r="M52" i="7"/>
  <c r="K54" i="7"/>
  <c r="J54" i="7"/>
  <c r="K48" i="7"/>
  <c r="J48" i="7"/>
  <c r="M44" i="7"/>
  <c r="M45" i="7"/>
  <c r="M46" i="7"/>
  <c r="M47" i="7"/>
  <c r="K28" i="7"/>
  <c r="J28" i="7"/>
  <c r="M27" i="7"/>
  <c r="M24" i="7"/>
  <c r="M25" i="7"/>
  <c r="M26" i="7"/>
  <c r="M18" i="7"/>
  <c r="M19" i="7"/>
  <c r="M20" i="7"/>
  <c r="M22" i="7"/>
  <c r="O64" i="8"/>
  <c r="P11" i="8"/>
  <c r="O57" i="8"/>
  <c r="O56" i="8"/>
  <c r="O49" i="8"/>
  <c r="N64" i="8"/>
  <c r="N56" i="8"/>
  <c r="O32" i="8"/>
  <c r="O24" i="8"/>
  <c r="O17" i="8"/>
  <c r="N32" i="8"/>
  <c r="N24" i="8"/>
  <c r="O22" i="7"/>
  <c r="AD11" i="25"/>
  <c r="AD12" i="25" s="1"/>
  <c r="AE11" i="8"/>
  <c r="AD12" i="8"/>
  <c r="AC11" i="25"/>
  <c r="AA11" i="25"/>
  <c r="AB11" i="8"/>
  <c r="AA12" i="8"/>
  <c r="Z11" i="25"/>
  <c r="X11" i="25"/>
  <c r="Y11" i="7"/>
  <c r="X12" i="7"/>
  <c r="Y11" i="8"/>
  <c r="X12" i="8"/>
  <c r="W12" i="8"/>
  <c r="W11" i="25"/>
  <c r="W12" i="25" s="1"/>
  <c r="U11" i="25"/>
  <c r="V11" i="7"/>
  <c r="T12" i="7"/>
  <c r="U12" i="7"/>
  <c r="V11" i="8"/>
  <c r="U12" i="8"/>
  <c r="T11" i="25"/>
  <c r="T12" i="25" s="1"/>
  <c r="R11" i="25"/>
  <c r="Q11" i="25"/>
  <c r="O57" i="25"/>
  <c r="O63" i="25" s="1"/>
  <c r="O58" i="25"/>
  <c r="O59" i="25"/>
  <c r="P50" i="7"/>
  <c r="P51" i="7"/>
  <c r="P54" i="7"/>
  <c r="P58" i="8"/>
  <c r="P59" i="8"/>
  <c r="P58" i="25"/>
  <c r="P60" i="8"/>
  <c r="P59" i="25"/>
  <c r="P50" i="8"/>
  <c r="P44" i="7"/>
  <c r="P49" i="25"/>
  <c r="P51" i="8"/>
  <c r="P52" i="8"/>
  <c r="P46" i="7"/>
  <c r="P51" i="25"/>
  <c r="N57" i="25"/>
  <c r="N58" i="25"/>
  <c r="N59" i="25"/>
  <c r="O49" i="25"/>
  <c r="O50" i="25"/>
  <c r="O51" i="25"/>
  <c r="P45" i="7"/>
  <c r="P48" i="7"/>
  <c r="P43" i="7"/>
  <c r="P50" i="25"/>
  <c r="N49" i="25"/>
  <c r="N50" i="25"/>
  <c r="N51" i="25"/>
  <c r="O26" i="25"/>
  <c r="O27" i="25"/>
  <c r="O28" i="25"/>
  <c r="P24" i="7"/>
  <c r="P25" i="7"/>
  <c r="P26" i="7"/>
  <c r="P28" i="7"/>
  <c r="P23" i="7"/>
  <c r="P26" i="8"/>
  <c r="P27" i="8"/>
  <c r="P27" i="25"/>
  <c r="P28" i="8"/>
  <c r="P32" i="8"/>
  <c r="P25" i="8"/>
  <c r="P33" i="8"/>
  <c r="P18" i="8"/>
  <c r="P19" i="8"/>
  <c r="P20" i="8"/>
  <c r="P20" i="7"/>
  <c r="N26" i="25"/>
  <c r="N27" i="25"/>
  <c r="N28" i="25"/>
  <c r="N18" i="25"/>
  <c r="N19" i="25"/>
  <c r="N20" i="25"/>
  <c r="P18" i="7"/>
  <c r="P19" i="7"/>
  <c r="O18" i="25"/>
  <c r="O19" i="25"/>
  <c r="O20" i="25"/>
  <c r="O24" i="25" s="1"/>
  <c r="O11" i="25"/>
  <c r="N12" i="8"/>
  <c r="O12" i="8"/>
  <c r="N11" i="25"/>
  <c r="P33" i="7"/>
  <c r="T33" i="7"/>
  <c r="T39" i="8"/>
  <c r="U39" i="8"/>
  <c r="U33" i="7"/>
  <c r="W33" i="7"/>
  <c r="W39" i="8"/>
  <c r="X33" i="7"/>
  <c r="X39" i="8"/>
  <c r="Z39" i="8"/>
  <c r="AA39" i="8"/>
  <c r="AC39" i="8"/>
  <c r="AD39" i="8"/>
  <c r="V23" i="7"/>
  <c r="Y23" i="7"/>
  <c r="Y25" i="8"/>
  <c r="AB25" i="8"/>
  <c r="AE25" i="8"/>
  <c r="Y17" i="7"/>
  <c r="Y33" i="7"/>
  <c r="Y17" i="8"/>
  <c r="Y39" i="8"/>
  <c r="AE17" i="8"/>
  <c r="J35" i="25"/>
  <c r="K35" i="25"/>
  <c r="J36" i="25"/>
  <c r="K36" i="25"/>
  <c r="J37" i="25"/>
  <c r="K37" i="25"/>
  <c r="R80" i="25"/>
  <c r="S80" i="25"/>
  <c r="Q80" i="25"/>
  <c r="Z78" i="25"/>
  <c r="AA78" i="25"/>
  <c r="AC78" i="25"/>
  <c r="AD78" i="25"/>
  <c r="Q78" i="25"/>
  <c r="R78" i="25"/>
  <c r="S78" i="25"/>
  <c r="T78" i="25"/>
  <c r="U78" i="25"/>
  <c r="W78" i="25"/>
  <c r="X78" i="25"/>
  <c r="O78" i="25"/>
  <c r="N78" i="25"/>
  <c r="U77" i="25"/>
  <c r="W77" i="25"/>
  <c r="X77" i="25"/>
  <c r="Z77" i="25"/>
  <c r="AA77" i="25"/>
  <c r="AC77" i="25"/>
  <c r="AD77" i="25"/>
  <c r="O77" i="25"/>
  <c r="Q77" i="25"/>
  <c r="R77" i="25"/>
  <c r="S77" i="25"/>
  <c r="T77" i="25"/>
  <c r="N77" i="25"/>
  <c r="S76" i="25"/>
  <c r="T76" i="25"/>
  <c r="U76" i="25"/>
  <c r="W76" i="25"/>
  <c r="X76" i="25"/>
  <c r="Z76" i="25"/>
  <c r="AA76" i="25"/>
  <c r="AC76" i="25"/>
  <c r="AD76" i="25"/>
  <c r="Q76" i="25"/>
  <c r="R76" i="25"/>
  <c r="O76" i="25"/>
  <c r="N76" i="25"/>
  <c r="AD88" i="25"/>
  <c r="T88" i="25"/>
  <c r="U88" i="25"/>
  <c r="W88" i="25"/>
  <c r="X88" i="25"/>
  <c r="Z88" i="25"/>
  <c r="AA88" i="25"/>
  <c r="AC88" i="25"/>
  <c r="S88" i="25"/>
  <c r="Q88" i="25"/>
  <c r="R88" i="25"/>
  <c r="O88" i="25"/>
  <c r="N88" i="25"/>
  <c r="AC87" i="25"/>
  <c r="AD87" i="25"/>
  <c r="T87" i="25"/>
  <c r="U87" i="25"/>
  <c r="W87" i="25"/>
  <c r="X87" i="25"/>
  <c r="Z87" i="25"/>
  <c r="AA87" i="25"/>
  <c r="R87" i="25"/>
  <c r="S87" i="25"/>
  <c r="Q87" i="25"/>
  <c r="O87" i="25"/>
  <c r="N87" i="25"/>
  <c r="O75" i="25"/>
  <c r="N75" i="25"/>
  <c r="W74" i="25"/>
  <c r="X74" i="25"/>
  <c r="Z74" i="25"/>
  <c r="AA74" i="25"/>
  <c r="AC74" i="25"/>
  <c r="AD74" i="25"/>
  <c r="Q74" i="25"/>
  <c r="R74" i="25"/>
  <c r="S74" i="25"/>
  <c r="T74" i="25"/>
  <c r="U74" i="25"/>
  <c r="O74" i="25"/>
  <c r="N74" i="25"/>
  <c r="M151" i="8"/>
  <c r="M149" i="8"/>
  <c r="M148" i="8"/>
  <c r="M147" i="8"/>
  <c r="M88" i="8"/>
  <c r="M87" i="8"/>
  <c r="M90" i="8"/>
  <c r="M83" i="8"/>
  <c r="M70" i="8"/>
  <c r="M45" i="8"/>
  <c r="M35" i="8"/>
  <c r="M36" i="8"/>
  <c r="M34" i="8"/>
  <c r="M33" i="8"/>
  <c r="M12" i="8"/>
  <c r="M144" i="7"/>
  <c r="M145" i="7"/>
  <c r="M147" i="7"/>
  <c r="M143" i="7"/>
  <c r="M60" i="7"/>
  <c r="M69" i="25"/>
  <c r="M31" i="7"/>
  <c r="M32" i="7"/>
  <c r="L18" i="24"/>
  <c r="M18" i="24"/>
  <c r="G19" i="24"/>
  <c r="J18" i="24"/>
  <c r="I18" i="24"/>
  <c r="I19" i="24" s="1"/>
  <c r="N18" i="24"/>
  <c r="I10" i="24"/>
  <c r="I6" i="24"/>
  <c r="I8" i="24" s="1"/>
  <c r="H10" i="24"/>
  <c r="H11" i="24" s="1"/>
  <c r="N10" i="24"/>
  <c r="M14" i="23"/>
  <c r="M6" i="23"/>
  <c r="L14" i="23"/>
  <c r="L6" i="23" s="1"/>
  <c r="K14" i="23"/>
  <c r="K6" i="23" s="1"/>
  <c r="J14" i="23"/>
  <c r="J6" i="23" s="1"/>
  <c r="H14" i="23"/>
  <c r="H6" i="23" s="1"/>
  <c r="N17" i="22"/>
  <c r="M17" i="22"/>
  <c r="L17" i="22"/>
  <c r="J17" i="22"/>
  <c r="I17" i="22"/>
  <c r="H17" i="22"/>
  <c r="N10" i="22"/>
  <c r="M6" i="22"/>
  <c r="M8" i="22"/>
  <c r="L10" i="22"/>
  <c r="I10" i="22"/>
  <c r="H10" i="22"/>
  <c r="N81" i="8"/>
  <c r="N71" i="7"/>
  <c r="O81" i="8"/>
  <c r="O71" i="7"/>
  <c r="O80" i="25"/>
  <c r="P148" i="8"/>
  <c r="P144" i="7"/>
  <c r="P88" i="8"/>
  <c r="P78" i="7"/>
  <c r="P87" i="8"/>
  <c r="P77" i="7"/>
  <c r="P87" i="25"/>
  <c r="P79" i="8"/>
  <c r="P69" i="7"/>
  <c r="P78" i="25"/>
  <c r="P78" i="8"/>
  <c r="P68" i="7"/>
  <c r="P77" i="8"/>
  <c r="P67" i="7"/>
  <c r="P76" i="25"/>
  <c r="P76" i="8"/>
  <c r="P66" i="7"/>
  <c r="P75" i="25"/>
  <c r="P75" i="8"/>
  <c r="P65" i="7"/>
  <c r="P36" i="8"/>
  <c r="P35" i="8"/>
  <c r="P34" i="8"/>
  <c r="P32" i="7"/>
  <c r="P31" i="7"/>
  <c r="P30" i="7"/>
  <c r="P29" i="7"/>
  <c r="V75" i="8"/>
  <c r="V65" i="7"/>
  <c r="Y75" i="8"/>
  <c r="Y65" i="7"/>
  <c r="AB75" i="8"/>
  <c r="AB65" i="7"/>
  <c r="AB67" i="7"/>
  <c r="AB68" i="7"/>
  <c r="AB69" i="7"/>
  <c r="AB71" i="7"/>
  <c r="AE75" i="8"/>
  <c r="AE65" i="7"/>
  <c r="I12" i="13"/>
  <c r="I17" i="13" s="1"/>
  <c r="N12" i="13"/>
  <c r="M12" i="13"/>
  <c r="L12" i="13"/>
  <c r="K12" i="13"/>
  <c r="J12" i="13"/>
  <c r="AE148" i="8"/>
  <c r="AB148" i="8"/>
  <c r="Y148" i="8"/>
  <c r="V148" i="8"/>
  <c r="V144" i="7"/>
  <c r="AE88" i="8"/>
  <c r="AE78" i="7"/>
  <c r="AB88" i="8"/>
  <c r="AB78" i="7"/>
  <c r="Y88" i="8"/>
  <c r="Y78" i="7"/>
  <c r="V88" i="8"/>
  <c r="V78" i="7"/>
  <c r="V88" i="25"/>
  <c r="AE87" i="8"/>
  <c r="AE87" i="25"/>
  <c r="AB87" i="8"/>
  <c r="AB87" i="25"/>
  <c r="Y87" i="8"/>
  <c r="Y77" i="7"/>
  <c r="Y87" i="25"/>
  <c r="V87" i="8"/>
  <c r="V77" i="7"/>
  <c r="AD81" i="8"/>
  <c r="AD71" i="7"/>
  <c r="AC81" i="8"/>
  <c r="AC71" i="7"/>
  <c r="AA81" i="8"/>
  <c r="Z81" i="8"/>
  <c r="Z71" i="7"/>
  <c r="Z80" i="25"/>
  <c r="AA71" i="7"/>
  <c r="AA80" i="25"/>
  <c r="X81" i="8"/>
  <c r="W81" i="8"/>
  <c r="X71" i="7"/>
  <c r="X80" i="25"/>
  <c r="W71" i="7"/>
  <c r="U81" i="8"/>
  <c r="T81" i="8"/>
  <c r="U71" i="7"/>
  <c r="T71" i="7"/>
  <c r="AE79" i="8"/>
  <c r="AE69" i="7"/>
  <c r="AE78" i="25"/>
  <c r="AB79" i="8"/>
  <c r="Y79" i="8"/>
  <c r="Y69" i="7"/>
  <c r="Y78" i="25"/>
  <c r="V79" i="8"/>
  <c r="V69" i="7"/>
  <c r="V78" i="25"/>
  <c r="AE78" i="8"/>
  <c r="AE68" i="7"/>
  <c r="AB78" i="8"/>
  <c r="Y78" i="8"/>
  <c r="Y68" i="7"/>
  <c r="Y77" i="25"/>
  <c r="V78" i="8"/>
  <c r="V68" i="7"/>
  <c r="AE77" i="8"/>
  <c r="AE67" i="7"/>
  <c r="AE76" i="25"/>
  <c r="AB77" i="8"/>
  <c r="Y77" i="8"/>
  <c r="Y67" i="7"/>
  <c r="V77" i="8"/>
  <c r="V67" i="7"/>
  <c r="AH144" i="7"/>
  <c r="AE144" i="7"/>
  <c r="AB144" i="7"/>
  <c r="Y144" i="7"/>
  <c r="AH78" i="7"/>
  <c r="AG71" i="7"/>
  <c r="AF71" i="7"/>
  <c r="AH71" i="7"/>
  <c r="AH69" i="7"/>
  <c r="AH68" i="7"/>
  <c r="AH67" i="7"/>
  <c r="AH65" i="7"/>
  <c r="L10" i="24"/>
  <c r="L6" i="24" s="1"/>
  <c r="L8" i="24" s="1"/>
  <c r="M10" i="24"/>
  <c r="M6" i="24"/>
  <c r="M8" i="24"/>
  <c r="J10" i="24"/>
  <c r="J6" i="24" s="1"/>
  <c r="J11" i="24"/>
  <c r="K10" i="24"/>
  <c r="H18" i="24"/>
  <c r="L6" i="22"/>
  <c r="L8" i="22"/>
  <c r="AC12" i="8"/>
  <c r="H11" i="13"/>
  <c r="N12" i="7"/>
  <c r="M54" i="25"/>
  <c r="P19" i="25"/>
  <c r="L12" i="7"/>
  <c r="N43" i="7"/>
  <c r="K12" i="7"/>
  <c r="AD12" i="7"/>
  <c r="AD23" i="7"/>
  <c r="AC23" i="7"/>
  <c r="AE23" i="7"/>
  <c r="Y71" i="7"/>
  <c r="AC12" i="7"/>
  <c r="Y81" i="8"/>
  <c r="Z12" i="7"/>
  <c r="Z17" i="7"/>
  <c r="AF12" i="7"/>
  <c r="P28" i="25"/>
  <c r="M103" i="7"/>
  <c r="J188" i="25"/>
  <c r="AE71" i="7"/>
  <c r="AE81" i="8"/>
  <c r="AE80" i="25"/>
  <c r="M64" i="8"/>
  <c r="AB39" i="8"/>
  <c r="M95" i="25"/>
  <c r="V81" i="8"/>
  <c r="AC17" i="7"/>
  <c r="AC33" i="7"/>
  <c r="V33" i="7"/>
  <c r="M32" i="8"/>
  <c r="AB81" i="8"/>
  <c r="AB80" i="25"/>
  <c r="M116" i="8"/>
  <c r="N80" i="25"/>
  <c r="P24" i="8"/>
  <c r="P17" i="8"/>
  <c r="M24" i="8"/>
  <c r="J126" i="25"/>
  <c r="V71" i="7"/>
  <c r="V80" i="25"/>
  <c r="AF17" i="7"/>
  <c r="AH17" i="7"/>
  <c r="AG23" i="7"/>
  <c r="Y76" i="25"/>
  <c r="J19" i="24"/>
  <c r="K6" i="24"/>
  <c r="F7" i="24" s="1"/>
  <c r="P20" i="25"/>
  <c r="M28" i="7"/>
  <c r="M142" i="8"/>
  <c r="L145" i="25"/>
  <c r="J39" i="8"/>
  <c r="M30" i="25"/>
  <c r="AB76" i="25"/>
  <c r="AE88" i="25"/>
  <c r="P81" i="8"/>
  <c r="M120" i="7"/>
  <c r="P49" i="7"/>
  <c r="M106" i="8"/>
  <c r="AG33" i="7"/>
  <c r="M80" i="7"/>
  <c r="AE74" i="25"/>
  <c r="M54" i="7"/>
  <c r="P18" i="25"/>
  <c r="AG12" i="7"/>
  <c r="AH12" i="7"/>
  <c r="AB74" i="25"/>
  <c r="P74" i="25"/>
  <c r="P56" i="8"/>
  <c r="P49" i="8"/>
  <c r="N25" i="8"/>
  <c r="M141" i="25"/>
  <c r="AB11" i="25"/>
  <c r="Z12" i="25" s="1"/>
  <c r="M48" i="7"/>
  <c r="AA12" i="7"/>
  <c r="AB12" i="7"/>
  <c r="O43" i="7"/>
  <c r="O55" i="7"/>
  <c r="O17" i="7"/>
  <c r="N23" i="7"/>
  <c r="AH23" i="7"/>
  <c r="P26" i="25"/>
  <c r="P11" i="25"/>
  <c r="N12" i="25" s="1"/>
  <c r="V12" i="7"/>
  <c r="V76" i="25"/>
  <c r="AB77" i="25"/>
  <c r="P64" i="8"/>
  <c r="P57" i="8"/>
  <c r="O23" i="7"/>
  <c r="J82" i="8"/>
  <c r="S11" i="25"/>
  <c r="Q12" i="25" s="1"/>
  <c r="S12" i="25" s="1"/>
  <c r="AE39" i="8"/>
  <c r="O25" i="8"/>
  <c r="O39" i="8"/>
  <c r="M17" i="8"/>
  <c r="M134" i="8"/>
  <c r="R12" i="7"/>
  <c r="S12" i="7"/>
  <c r="N49" i="8"/>
  <c r="P71" i="7"/>
  <c r="N57" i="8"/>
  <c r="N65" i="8"/>
  <c r="AD33" i="7"/>
  <c r="M12" i="7"/>
  <c r="K39" i="8"/>
  <c r="AE77" i="25"/>
  <c r="Y74" i="25"/>
  <c r="P12" i="8"/>
  <c r="M93" i="25"/>
  <c r="P22" i="7"/>
  <c r="P17" i="7"/>
  <c r="P57" i="25"/>
  <c r="U80" i="25"/>
  <c r="AE12" i="8"/>
  <c r="Y11" i="25"/>
  <c r="Y80" i="25"/>
  <c r="AD80" i="25"/>
  <c r="Y88" i="25"/>
  <c r="V74" i="25"/>
  <c r="P88" i="25"/>
  <c r="K49" i="8"/>
  <c r="V11" i="25"/>
  <c r="K57" i="8"/>
  <c r="M57" i="8"/>
  <c r="P12" i="7"/>
  <c r="N17" i="8"/>
  <c r="N39" i="8"/>
  <c r="M95" i="7"/>
  <c r="K82" i="8"/>
  <c r="T80" i="25"/>
  <c r="W12" i="7"/>
  <c r="Y12" i="7"/>
  <c r="AB88" i="25"/>
  <c r="Y12" i="8"/>
  <c r="K72" i="7"/>
  <c r="J49" i="8"/>
  <c r="V87" i="25"/>
  <c r="AA23" i="7"/>
  <c r="AB23" i="7"/>
  <c r="T12" i="8"/>
  <c r="V12" i="8"/>
  <c r="AC80" i="25"/>
  <c r="AE11" i="25"/>
  <c r="V77" i="25"/>
  <c r="AB78" i="25"/>
  <c r="P77" i="25"/>
  <c r="M129" i="7"/>
  <c r="M124" i="8"/>
  <c r="N6" i="22"/>
  <c r="N8" i="22"/>
  <c r="I6" i="22"/>
  <c r="H6" i="22"/>
  <c r="J6" i="22"/>
  <c r="AE17" i="7"/>
  <c r="Z33" i="7"/>
  <c r="P39" i="8"/>
  <c r="O65" i="8"/>
  <c r="Z12" i="8"/>
  <c r="AB12" i="8"/>
  <c r="W80" i="25"/>
  <c r="AA17" i="7"/>
  <c r="AF33" i="7"/>
  <c r="AH33" i="7"/>
  <c r="P80" i="25"/>
  <c r="M49" i="8"/>
  <c r="M65" i="8"/>
  <c r="AE12" i="7"/>
  <c r="AE33" i="7"/>
  <c r="P65" i="8"/>
  <c r="M39" i="8"/>
  <c r="K65" i="8"/>
  <c r="N55" i="7"/>
  <c r="M82" i="8"/>
  <c r="AC12" i="25"/>
  <c r="R12" i="25"/>
  <c r="J65" i="8"/>
  <c r="J7" i="22"/>
  <c r="H7" i="22"/>
  <c r="K8" i="22"/>
  <c r="I7" i="22"/>
  <c r="AA33" i="7"/>
  <c r="AB17" i="7"/>
  <c r="AB33" i="7"/>
  <c r="G12" i="9"/>
  <c r="H40" i="26"/>
  <c r="I39" i="26"/>
  <c r="L39" i="26"/>
  <c r="M40" i="26"/>
  <c r="J40" i="26"/>
  <c r="N39" i="26"/>
  <c r="K39" i="26"/>
  <c r="J39" i="26"/>
  <c r="I40" i="26"/>
  <c r="H43" i="26"/>
  <c r="K40" i="26"/>
  <c r="N40" i="26"/>
  <c r="H38" i="26"/>
  <c r="M39" i="26"/>
  <c r="L40" i="26"/>
  <c r="H39" i="26"/>
  <c r="I11" i="24"/>
  <c r="N6" i="24"/>
  <c r="N8" i="24"/>
  <c r="H6" i="24"/>
  <c r="H8" i="24" s="1"/>
  <c r="K8" i="24"/>
  <c r="H7" i="24"/>
  <c r="H7" i="10"/>
  <c r="H19" i="24"/>
  <c r="G45" i="23" l="1"/>
  <c r="G46" i="23"/>
  <c r="G7" i="10" s="1"/>
  <c r="M7" i="10"/>
  <c r="K8" i="10"/>
  <c r="G17" i="9"/>
  <c r="G8" i="23"/>
  <c r="G14" i="23"/>
  <c r="G6" i="24"/>
  <c r="G11" i="24"/>
  <c r="J7" i="24"/>
  <c r="J8" i="24"/>
  <c r="G65" i="24"/>
  <c r="G67" i="24" s="1"/>
  <c r="G14" i="22"/>
  <c r="G10" i="22" s="1"/>
  <c r="G6" i="22" s="1"/>
  <c r="G7" i="22" s="1"/>
  <c r="I7" i="24"/>
  <c r="H32" i="9"/>
  <c r="I33" i="9"/>
  <c r="F32" i="9"/>
  <c r="AE12" i="25"/>
  <c r="M20" i="25"/>
  <c r="M152" i="25"/>
  <c r="I143" i="25"/>
  <c r="I130" i="25"/>
  <c r="K24" i="25"/>
  <c r="M132" i="25"/>
  <c r="J56" i="25"/>
  <c r="I126" i="25"/>
  <c r="I132" i="25"/>
  <c r="M89" i="25"/>
  <c r="O32" i="25"/>
  <c r="O25" i="25" s="1"/>
  <c r="L12" i="25"/>
  <c r="I44" i="25"/>
  <c r="I104" i="25"/>
  <c r="I140" i="25"/>
  <c r="I131" i="25"/>
  <c r="J25" i="25"/>
  <c r="J33" i="25" s="1"/>
  <c r="M27" i="25"/>
  <c r="M38" i="25"/>
  <c r="M53" i="25"/>
  <c r="I19" i="25"/>
  <c r="I139" i="25"/>
  <c r="H136" i="25"/>
  <c r="K12" i="25"/>
  <c r="N63" i="25"/>
  <c r="N56" i="25" s="1"/>
  <c r="N64" i="25" s="1"/>
  <c r="M22" i="25"/>
  <c r="M138" i="25"/>
  <c r="M52" i="25"/>
  <c r="G98" i="25"/>
  <c r="M35" i="25"/>
  <c r="N55" i="25"/>
  <c r="N48" i="25" s="1"/>
  <c r="L117" i="25"/>
  <c r="I28" i="25"/>
  <c r="I142" i="25"/>
  <c r="H55" i="25"/>
  <c r="H12" i="25"/>
  <c r="I21" i="25"/>
  <c r="O12" i="25"/>
  <c r="P12" i="25" s="1"/>
  <c r="P55" i="25"/>
  <c r="P48" i="25" s="1"/>
  <c r="M151" i="25"/>
  <c r="F145" i="25"/>
  <c r="O17" i="25"/>
  <c r="I43" i="25"/>
  <c r="G81" i="25"/>
  <c r="I81" i="25" s="1"/>
  <c r="M43" i="25"/>
  <c r="I58" i="25"/>
  <c r="I88" i="25"/>
  <c r="I90" i="25" s="1"/>
  <c r="M90" i="25"/>
  <c r="I94" i="25"/>
  <c r="J24" i="25"/>
  <c r="M24" i="25" s="1"/>
  <c r="X12" i="25"/>
  <c r="Y12" i="25" s="1"/>
  <c r="M19" i="25"/>
  <c r="M49" i="25"/>
  <c r="K80" i="25"/>
  <c r="H98" i="25"/>
  <c r="I101" i="25"/>
  <c r="I122" i="25"/>
  <c r="F185" i="25"/>
  <c r="I113" i="25"/>
  <c r="I117" i="25" s="1"/>
  <c r="M28" i="25"/>
  <c r="G90" i="25"/>
  <c r="F55" i="25"/>
  <c r="L24" i="25"/>
  <c r="K25" i="25"/>
  <c r="L55" i="25"/>
  <c r="M77" i="25"/>
  <c r="G32" i="25"/>
  <c r="H63" i="25"/>
  <c r="M76" i="25"/>
  <c r="I74" i="25"/>
  <c r="F90" i="25"/>
  <c r="J117" i="25"/>
  <c r="P24" i="25"/>
  <c r="P17" i="25" s="1"/>
  <c r="M18" i="25"/>
  <c r="M105" i="25"/>
  <c r="M139" i="25"/>
  <c r="M75" i="25"/>
  <c r="G55" i="25"/>
  <c r="I141" i="25"/>
  <c r="L80" i="25"/>
  <c r="M44" i="25"/>
  <c r="J90" i="25"/>
  <c r="M126" i="25"/>
  <c r="K56" i="25"/>
  <c r="I82" i="25"/>
  <c r="F117" i="25"/>
  <c r="I151" i="25"/>
  <c r="K136" i="25"/>
  <c r="M36" i="25"/>
  <c r="J32" i="25"/>
  <c r="J98" i="25"/>
  <c r="O56" i="25"/>
  <c r="I53" i="25"/>
  <c r="J145" i="25"/>
  <c r="M145" i="25" s="1"/>
  <c r="M97" i="25"/>
  <c r="L98" i="25"/>
  <c r="M57" i="25"/>
  <c r="K63" i="25"/>
  <c r="F107" i="25"/>
  <c r="I100" i="25"/>
  <c r="H117" i="25"/>
  <c r="F98" i="25"/>
  <c r="J107" i="25"/>
  <c r="H107" i="25"/>
  <c r="I106" i="25"/>
  <c r="M37" i="25"/>
  <c r="P63" i="25"/>
  <c r="P56" i="25" s="1"/>
  <c r="P64" i="25" s="1"/>
  <c r="F48" i="25"/>
  <c r="G25" i="25"/>
  <c r="H25" i="25"/>
  <c r="I12" i="25"/>
  <c r="H56" i="25"/>
  <c r="F25" i="25"/>
  <c r="F56" i="25"/>
  <c r="G17" i="25"/>
  <c r="G48" i="25"/>
  <c r="H17" i="25"/>
  <c r="H48" i="25"/>
  <c r="F17" i="25"/>
  <c r="K117" i="25"/>
  <c r="M111" i="25"/>
  <c r="M117" i="25" s="1"/>
  <c r="K98" i="25"/>
  <c r="K107" i="25"/>
  <c r="M142" i="25"/>
  <c r="K145" i="25"/>
  <c r="I59" i="25"/>
  <c r="I29" i="25"/>
  <c r="I51" i="25"/>
  <c r="F12" i="25"/>
  <c r="G56" i="25"/>
  <c r="G64" i="25" s="1"/>
  <c r="M32" i="25"/>
  <c r="M74" i="25"/>
  <c r="M61" i="25"/>
  <c r="J63" i="25"/>
  <c r="G145" i="25"/>
  <c r="I138" i="25"/>
  <c r="I145" i="25"/>
  <c r="P32" i="25"/>
  <c r="P25" i="25" s="1"/>
  <c r="O33" i="25"/>
  <c r="L63" i="25"/>
  <c r="L56" i="25"/>
  <c r="L64" i="25" s="1"/>
  <c r="M121" i="25"/>
  <c r="J81" i="25"/>
  <c r="I18" i="25"/>
  <c r="F24" i="25"/>
  <c r="M29" i="25"/>
  <c r="G63" i="25"/>
  <c r="N24" i="25"/>
  <c r="N17" i="25" s="1"/>
  <c r="M122" i="25"/>
  <c r="L48" i="25"/>
  <c r="K17" i="25"/>
  <c r="L25" i="25"/>
  <c r="F136" i="25"/>
  <c r="G24" i="25"/>
  <c r="H80" i="25"/>
  <c r="G80" i="25"/>
  <c r="N32" i="25"/>
  <c r="N25" i="25" s="1"/>
  <c r="AA12" i="25"/>
  <c r="AB12" i="25" s="1"/>
  <c r="J12" i="25"/>
  <c r="L17" i="25"/>
  <c r="O55" i="25"/>
  <c r="O48" i="25" s="1"/>
  <c r="M92" i="25"/>
  <c r="F32" i="25"/>
  <c r="I26" i="25"/>
  <c r="I25" i="25" s="1"/>
  <c r="U12" i="25"/>
  <c r="V12" i="25" s="1"/>
  <c r="K32" i="25"/>
  <c r="P34" i="25"/>
  <c r="I77" i="25"/>
  <c r="M131" i="25"/>
  <c r="M136" i="25" s="1"/>
  <c r="I76" i="25"/>
  <c r="M48" i="25"/>
  <c r="J48" i="25"/>
  <c r="J64" i="25" s="1"/>
  <c r="K48" i="25"/>
  <c r="J136" i="25"/>
  <c r="L136" i="25"/>
  <c r="M100" i="25"/>
  <c r="I75" i="25"/>
  <c r="G117" i="25"/>
  <c r="J17" i="25"/>
  <c r="I95" i="25"/>
  <c r="I98" i="25" s="1"/>
  <c r="G107" i="25"/>
  <c r="F80" i="25"/>
  <c r="I18" i="10"/>
  <c r="H16" i="10"/>
  <c r="M7" i="9"/>
  <c r="M6" i="9"/>
  <c r="L6" i="10"/>
  <c r="J24" i="23"/>
  <c r="J30" i="22" s="1"/>
  <c r="F12" i="22"/>
  <c r="L18" i="10"/>
  <c r="I7" i="10"/>
  <c r="M8" i="10"/>
  <c r="J7" i="9"/>
  <c r="J16" i="10"/>
  <c r="J26" i="23"/>
  <c r="J32" i="22" s="1"/>
  <c r="J6" i="9"/>
  <c r="J20" i="23"/>
  <c r="J26" i="22" s="1"/>
  <c r="J7" i="10"/>
  <c r="J18" i="10"/>
  <c r="F6" i="10"/>
  <c r="J19" i="9"/>
  <c r="J8" i="10"/>
  <c r="F8" i="10"/>
  <c r="J21" i="23"/>
  <c r="J27" i="22" s="1"/>
  <c r="F7" i="9"/>
  <c r="J25" i="23"/>
  <c r="J31" i="22" s="1"/>
  <c r="J22" i="23"/>
  <c r="J28" i="22" s="1"/>
  <c r="J6" i="10"/>
  <c r="I8" i="9"/>
  <c r="I8" i="10"/>
  <c r="I19" i="9"/>
  <c r="I6" i="9"/>
  <c r="L8" i="9"/>
  <c r="I6" i="10"/>
  <c r="I18" i="23"/>
  <c r="I24" i="22" s="1"/>
  <c r="I8" i="22" s="1"/>
  <c r="F16" i="10"/>
  <c r="I16" i="10"/>
  <c r="F8" i="9"/>
  <c r="F19" i="9"/>
  <c r="F24" i="22"/>
  <c r="H18" i="23"/>
  <c r="H24" i="22" s="1"/>
  <c r="H8" i="22" s="1"/>
  <c r="H17" i="9"/>
  <c r="M19" i="9"/>
  <c r="H19" i="9"/>
  <c r="F6" i="9"/>
  <c r="H7" i="9"/>
  <c r="F18" i="10"/>
  <c r="F17" i="9"/>
  <c r="F13" i="22"/>
  <c r="M18" i="10"/>
  <c r="F7" i="10"/>
  <c r="M8" i="9"/>
  <c r="K7" i="9"/>
  <c r="M16" i="10"/>
  <c r="G18" i="10"/>
  <c r="H8" i="10"/>
  <c r="G18" i="23"/>
  <c r="G24" i="22" s="1"/>
  <c r="K18" i="10"/>
  <c r="K8" i="9"/>
  <c r="H6" i="9"/>
  <c r="H8" i="9"/>
  <c r="M6" i="10"/>
  <c r="H6" i="10"/>
  <c r="L6" i="9"/>
  <c r="K7" i="10"/>
  <c r="L7" i="9"/>
  <c r="G7" i="9"/>
  <c r="L8" i="10"/>
  <c r="K6" i="10"/>
  <c r="K19" i="9"/>
  <c r="L19" i="9"/>
  <c r="K16" i="10"/>
  <c r="L7" i="10"/>
  <c r="G6" i="10" l="1"/>
  <c r="G19" i="9"/>
  <c r="G8" i="9"/>
  <c r="G8" i="10"/>
  <c r="G16" i="10"/>
  <c r="G6" i="9"/>
  <c r="G6" i="23"/>
  <c r="G8" i="24"/>
  <c r="G7" i="24"/>
  <c r="G8" i="22"/>
  <c r="I48" i="25"/>
  <c r="I63" i="25"/>
  <c r="N33" i="25"/>
  <c r="M25" i="25"/>
  <c r="I24" i="25"/>
  <c r="M55" i="25"/>
  <c r="I17" i="25"/>
  <c r="I33" i="25" s="1"/>
  <c r="H33" i="25"/>
  <c r="I136" i="25"/>
  <c r="G33" i="25"/>
  <c r="K64" i="25"/>
  <c r="K33" i="25"/>
  <c r="I55" i="25"/>
  <c r="P33" i="25"/>
  <c r="M17" i="25"/>
  <c r="I80" i="25"/>
  <c r="L33" i="25"/>
  <c r="I32" i="25"/>
  <c r="I56" i="25"/>
  <c r="I64" i="25" s="1"/>
  <c r="M107" i="25"/>
  <c r="I107" i="25"/>
  <c r="M80" i="25"/>
  <c r="O64" i="25"/>
  <c r="H64" i="25"/>
  <c r="F33" i="25"/>
  <c r="K81" i="25"/>
  <c r="M81" i="25" s="1"/>
  <c r="M63" i="25"/>
  <c r="M56" i="25"/>
  <c r="M64" i="25" s="1"/>
  <c r="M98" i="25"/>
  <c r="F64" i="25"/>
  <c r="F19" i="22"/>
  <c r="F17" i="22" s="1"/>
  <c r="F8" i="23"/>
  <c r="F6" i="23" s="1"/>
  <c r="F10" i="22"/>
  <c r="J35" i="23"/>
  <c r="J41" i="22"/>
  <c r="J18" i="23"/>
  <c r="J24" i="22" s="1"/>
  <c r="J8" i="22" s="1"/>
  <c r="M33" i="25" l="1"/>
  <c r="F6" i="22"/>
  <c r="F7" i="22" s="1"/>
  <c r="F8" i="22" l="1"/>
</calcChain>
</file>

<file path=xl/sharedStrings.xml><?xml version="1.0" encoding="utf-8"?>
<sst xmlns="http://schemas.openxmlformats.org/spreadsheetml/2006/main" count="9596" uniqueCount="640">
  <si>
    <t>Contents</t>
  </si>
  <si>
    <t>About this workbook</t>
  </si>
  <si>
    <t>Disclaimer</t>
  </si>
  <si>
    <t xml:space="preserve">An external assurance provider has not been engaged for this publication. 
We have internal governance and processes in place to ensure that the information contained within this ESG Data Book is accurate to the extent possible. While best endeavours have been used to uphold accuracy, the Ausgrid Group does not guarantee that the information within is free from errors or is suitable for your intended use. 
All information in this ESG Data Book is subject to change without notice. </t>
  </si>
  <si>
    <t>Contact</t>
  </si>
  <si>
    <t xml:space="preserve">If you have any feedback on this ESG Data Book or sustainability at the Ausgrid Group, please contact Timothy Jarratt, Group Executive Market Development and Strategy, at +61 2 4951 9555 or email enquiries@ausgrid.com.au. </t>
  </si>
  <si>
    <t xml:space="preserve">            </t>
  </si>
  <si>
    <t>Business Overview</t>
  </si>
  <si>
    <t>Ausgrid assets</t>
  </si>
  <si>
    <t>Unit</t>
  </si>
  <si>
    <t>FY25</t>
  </si>
  <si>
    <t>FY24</t>
  </si>
  <si>
    <t>FY23</t>
  </si>
  <si>
    <t>FY22</t>
  </si>
  <si>
    <t>FY21</t>
  </si>
  <si>
    <t>FY20</t>
  </si>
  <si>
    <t>FY19</t>
  </si>
  <si>
    <t>FY18</t>
  </si>
  <si>
    <t>FY17</t>
  </si>
  <si>
    <t>Regulatory Asset Base (RAB)</t>
  </si>
  <si>
    <t>$</t>
  </si>
  <si>
    <t>Area supplied</t>
  </si>
  <si>
    <r>
      <t>km</t>
    </r>
    <r>
      <rPr>
        <vertAlign val="superscript"/>
        <sz val="12"/>
        <color theme="1"/>
        <rFont val="Arial"/>
        <family val="2"/>
      </rPr>
      <t>2</t>
    </r>
  </si>
  <si>
    <t>-</t>
  </si>
  <si>
    <t>Control rooms</t>
  </si>
  <si>
    <t>Number</t>
  </si>
  <si>
    <t>Streetlights</t>
  </si>
  <si>
    <t>Powerpoles</t>
  </si>
  <si>
    <t xml:space="preserve">Length of power lines and underground cables </t>
  </si>
  <si>
    <t>km</t>
  </si>
  <si>
    <t xml:space="preserve">Overhead </t>
  </si>
  <si>
    <t>%</t>
  </si>
  <si>
    <t>Underground</t>
  </si>
  <si>
    <t>Small distribution substations</t>
  </si>
  <si>
    <t>Large distribution substations</t>
  </si>
  <si>
    <t>Operational drones</t>
  </si>
  <si>
    <r>
      <t>Electric vehicle fleet</t>
    </r>
    <r>
      <rPr>
        <vertAlign val="superscript"/>
        <sz val="12"/>
        <rFont val="Arial"/>
        <family val="2"/>
      </rPr>
      <t>1</t>
    </r>
  </si>
  <si>
    <t>Ausgrid passenger electric vehicles</t>
  </si>
  <si>
    <t>Ausgrid passenger electric vehicles (% of total fleet)</t>
  </si>
  <si>
    <t xml:space="preserve">Ausgrid light commercial electric vehicles </t>
  </si>
  <si>
    <t>Ausgrid light commercial electric vehicles (% of total fleet)</t>
  </si>
  <si>
    <t>Ausgrid heavy electric vehicles</t>
  </si>
  <si>
    <t>Ausgrid heavy electric vehicles (% of total fleet)</t>
  </si>
  <si>
    <t>1. Cumulative data.</t>
  </si>
  <si>
    <t>Australia</t>
  </si>
  <si>
    <t>First Nations Australia</t>
  </si>
  <si>
    <t>International</t>
  </si>
  <si>
    <t>Suppliers</t>
  </si>
  <si>
    <t>Addressable Vendor Spend</t>
  </si>
  <si>
    <t xml:space="preserve">       </t>
  </si>
  <si>
    <t xml:space="preserve"> </t>
  </si>
  <si>
    <t>PLUS ES</t>
  </si>
  <si>
    <t>Meter readings taken</t>
  </si>
  <si>
    <r>
      <t>Smart meters readings</t>
    </r>
    <r>
      <rPr>
        <vertAlign val="superscript"/>
        <sz val="12"/>
        <rFont val="Arial"/>
        <family val="2"/>
      </rPr>
      <t>1</t>
    </r>
    <r>
      <rPr>
        <sz val="12"/>
        <rFont val="Arial"/>
        <family val="2"/>
      </rPr>
      <t xml:space="preserve"> </t>
    </r>
  </si>
  <si>
    <t>Billion</t>
  </si>
  <si>
    <t>Manual meter readings</t>
  </si>
  <si>
    <t>Advanced services</t>
  </si>
  <si>
    <t>Meter based load control services</t>
  </si>
  <si>
    <t>Retailer based flexible load control meters</t>
  </si>
  <si>
    <t>Remote disconnect/reconnect completed</t>
  </si>
  <si>
    <r>
      <t>Electric vehicle fleet</t>
    </r>
    <r>
      <rPr>
        <b/>
        <vertAlign val="superscript"/>
        <sz val="12"/>
        <rFont val="Arial"/>
        <family val="2"/>
      </rPr>
      <t>2</t>
    </r>
  </si>
  <si>
    <t>PLUS ES passenger electric vehicles</t>
  </si>
  <si>
    <t>PLUS ES passenger electric vehicles (% of total fleet)</t>
  </si>
  <si>
    <t xml:space="preserve">PLUS ES light commercial electric vehicles </t>
  </si>
  <si>
    <t>PLUS ES light commercial electric vehicles (% of total fleet)</t>
  </si>
  <si>
    <t>PLUS ES heavy electric vehicles</t>
  </si>
  <si>
    <t>PLUS ES heavy electric vehicles (% of total fleet)</t>
  </si>
  <si>
    <t>1. FY25 smart meters readings are estimated based on number of smart meters installed at month end, multiplied by the number of days in that month, multiplied by four smart meter readings per smart meter per day. This is different to the FY24 estimation methodology, which was based on total smart meter installs during the year, multiplied by 365 days in the year, multiplied by four smart meter readings per smart meter per day.
2. Cumulative data.</t>
  </si>
  <si>
    <t>Ausgrid Group Risk &amp; Compliance</t>
  </si>
  <si>
    <t xml:space="preserve">                      Ausgrid Group Risk &amp; Compliance</t>
  </si>
  <si>
    <t>Risk and compliance</t>
  </si>
  <si>
    <r>
      <t>Critical concerns reported to the Board (enterprise risk deep dive sessions)</t>
    </r>
    <r>
      <rPr>
        <b/>
        <vertAlign val="superscript"/>
        <sz val="12"/>
        <rFont val="Arial"/>
        <family val="2"/>
      </rPr>
      <t>1</t>
    </r>
  </si>
  <si>
    <t>Significant non-compliance with laws and regulations</t>
  </si>
  <si>
    <t>Fines incurred due to significant non-compliance with laws and regulations</t>
  </si>
  <si>
    <t>Ausgrid immediately reportable National Energy Customer Framework breaches</t>
  </si>
  <si>
    <t>Non-compliances with environmental laws and regulations (fines and prosecutions)</t>
  </si>
  <si>
    <r>
      <t>Incidents of discrimination</t>
    </r>
    <r>
      <rPr>
        <b/>
        <vertAlign val="superscript"/>
        <sz val="12"/>
        <rFont val="Arial"/>
        <family val="2"/>
      </rPr>
      <t>2</t>
    </r>
  </si>
  <si>
    <r>
      <t>Incidents involving the rights of Indigenous peoples</t>
    </r>
    <r>
      <rPr>
        <vertAlign val="superscript"/>
        <sz val="12"/>
        <color rgb="FF000000"/>
        <rFont val="Arial"/>
        <family val="2"/>
      </rPr>
      <t>2</t>
    </r>
  </si>
  <si>
    <t>Supplier risk assessment</t>
  </si>
  <si>
    <r>
      <t>New suppliers that were screened using social criteria</t>
    </r>
    <r>
      <rPr>
        <vertAlign val="superscript"/>
        <sz val="12"/>
        <rFont val="Arial"/>
        <family val="2"/>
      </rPr>
      <t>3</t>
    </r>
  </si>
  <si>
    <t>New contracts that were screened using social criteria</t>
  </si>
  <si>
    <t>Substantiated complaints concerning breaches of customer privacy and losses of customer data</t>
  </si>
  <si>
    <t>Leaks, thefts or losses of customer data</t>
  </si>
  <si>
    <t>Historical and obsolete database records purged</t>
  </si>
  <si>
    <t>&gt;1,500,000</t>
  </si>
  <si>
    <t>&gt;40,000,000</t>
  </si>
  <si>
    <t>Websites blocked due to suspicious or malicious software</t>
  </si>
  <si>
    <t>1. Critical concerns are defined as enterprise risk deep dive sessions, communicated to the Ausgrid Board. 
2. All incidents were managed in line with relevant procedures and policy, with appropriate counselling/disciplinary action taken and remedial programs developed.
3. The FY25 value is lower than in FY24 due to consultants engaged on a single source basis on account of their specific experience or technical expertise.</t>
  </si>
  <si>
    <t>AER cost pass throughs</t>
  </si>
  <si>
    <t>Damage to the Ausgrid network from extreme weather</t>
  </si>
  <si>
    <t>Claim applications submitted</t>
  </si>
  <si>
    <t>Approved claim amount</t>
  </si>
  <si>
    <t xml:space="preserve">                      </t>
  </si>
  <si>
    <t>Ausgrid Group Workforce</t>
  </si>
  <si>
    <r>
      <t>Workforce</t>
    </r>
    <r>
      <rPr>
        <b/>
        <vertAlign val="superscript"/>
        <sz val="18"/>
        <color theme="0"/>
        <rFont val="Arial"/>
        <family val="2"/>
      </rPr>
      <t>1</t>
    </r>
    <r>
      <rPr>
        <b/>
        <sz val="18"/>
        <color theme="0"/>
        <rFont val="Arial"/>
        <family val="2"/>
      </rPr>
      <t xml:space="preserve"> </t>
    </r>
  </si>
  <si>
    <t>Total headcount</t>
  </si>
  <si>
    <t>Total FTE</t>
  </si>
  <si>
    <t>1. Includes Ausgrid, PLUS ES and Emerging Energy Solutions employees under the Enterprise Agreement or individual contract. Excludes labour hire and contractors. Prior to FY23, labour hire was included.</t>
  </si>
  <si>
    <r>
      <t>Employees</t>
    </r>
    <r>
      <rPr>
        <b/>
        <vertAlign val="superscript"/>
        <sz val="18"/>
        <color theme="0"/>
        <rFont val="Arial"/>
        <family val="2"/>
      </rPr>
      <t>2</t>
    </r>
  </si>
  <si>
    <t>F</t>
  </si>
  <si>
    <t>M</t>
  </si>
  <si>
    <t>Other</t>
  </si>
  <si>
    <t>Total</t>
  </si>
  <si>
    <t>Employees</t>
  </si>
  <si>
    <t xml:space="preserve">Employees </t>
  </si>
  <si>
    <t>2. Prior to FY23, labour hire was not included.</t>
  </si>
  <si>
    <t>Employment type</t>
  </si>
  <si>
    <t xml:space="preserve">Full time </t>
  </si>
  <si>
    <t>Hunter / Central Coast</t>
  </si>
  <si>
    <t>Sydney</t>
  </si>
  <si>
    <t>Victoria</t>
  </si>
  <si>
    <t>Queensland</t>
  </si>
  <si>
    <t>South Australia</t>
  </si>
  <si>
    <t xml:space="preserve">Persons identifying as 'other' </t>
  </si>
  <si>
    <t xml:space="preserve">Part time </t>
  </si>
  <si>
    <r>
      <t>Non-guaranteed hours</t>
    </r>
    <r>
      <rPr>
        <b/>
        <vertAlign val="superscript"/>
        <sz val="12"/>
        <rFont val="Arial"/>
        <family val="2"/>
      </rPr>
      <t>3</t>
    </r>
    <r>
      <rPr>
        <b/>
        <sz val="12"/>
        <rFont val="Arial"/>
        <family val="2"/>
      </rPr>
      <t xml:space="preserve"> </t>
    </r>
  </si>
  <si>
    <t>3. No fixed or minimum hours, but available as needed.</t>
  </si>
  <si>
    <t>Work type</t>
  </si>
  <si>
    <t>Office-based</t>
  </si>
  <si>
    <t>Field-based</t>
  </si>
  <si>
    <t xml:space="preserve">Employment permanency </t>
  </si>
  <si>
    <r>
      <t>Permanent</t>
    </r>
    <r>
      <rPr>
        <b/>
        <vertAlign val="superscript"/>
        <sz val="12"/>
        <rFont val="Arial"/>
        <family val="2"/>
      </rPr>
      <t>4</t>
    </r>
  </si>
  <si>
    <r>
      <t>Temporary</t>
    </r>
    <r>
      <rPr>
        <b/>
        <vertAlign val="superscript"/>
        <sz val="12"/>
        <rFont val="Arial"/>
        <family val="2"/>
      </rPr>
      <t>5</t>
    </r>
  </si>
  <si>
    <t>4. Indefinite contracts.
5. Contract for fixed term.</t>
  </si>
  <si>
    <r>
      <t>Hours worked</t>
    </r>
    <r>
      <rPr>
        <b/>
        <vertAlign val="superscript"/>
        <sz val="18"/>
        <color theme="0"/>
        <rFont val="Arial"/>
        <family val="2"/>
      </rPr>
      <t>6</t>
    </r>
  </si>
  <si>
    <t>Employees hours worked</t>
  </si>
  <si>
    <t>6. Based on hours worked paid including overtime and paid leave.</t>
  </si>
  <si>
    <t xml:space="preserve">Gender diversity </t>
  </si>
  <si>
    <t>Executive General Managers</t>
  </si>
  <si>
    <t xml:space="preserve">Heads of </t>
  </si>
  <si>
    <t>Managers</t>
  </si>
  <si>
    <t>Supervisors</t>
  </si>
  <si>
    <t>Non-managers</t>
  </si>
  <si>
    <r>
      <t>Female people leaders</t>
    </r>
    <r>
      <rPr>
        <vertAlign val="superscript"/>
        <sz val="12"/>
        <rFont val="Arial"/>
        <family val="2"/>
      </rPr>
      <t>7</t>
    </r>
    <r>
      <rPr>
        <sz val="12"/>
        <rFont val="Arial"/>
        <family val="2"/>
      </rPr>
      <t xml:space="preserve"> </t>
    </r>
  </si>
  <si>
    <t xml:space="preserve">Female front line workers </t>
  </si>
  <si>
    <t>7. FY25 figure for 'Female people leaders' includes appointed managers only. This differs from 'Female people leaders in Ausgrid Group' reported in the FY25 Business and Sustainability Review which also includes managers acting in roles temporarily.</t>
  </si>
  <si>
    <t>New hires</t>
  </si>
  <si>
    <t>External appointments</t>
  </si>
  <si>
    <t>Internal appointments</t>
  </si>
  <si>
    <t>Location</t>
  </si>
  <si>
    <t>Age group</t>
  </si>
  <si>
    <t>16-24</t>
  </si>
  <si>
    <t>25-34</t>
  </si>
  <si>
    <t>35-44</t>
  </si>
  <si>
    <t>45-54</t>
  </si>
  <si>
    <t>55-64</t>
  </si>
  <si>
    <t>65+</t>
  </si>
  <si>
    <t>Redundancies</t>
  </si>
  <si>
    <r>
      <t>Attrition (excluding redundancies)</t>
    </r>
    <r>
      <rPr>
        <b/>
        <vertAlign val="superscript"/>
        <sz val="18"/>
        <color theme="0"/>
        <rFont val="Arial"/>
        <family val="2"/>
      </rPr>
      <t>8</t>
    </r>
  </si>
  <si>
    <t xml:space="preserve">8. Attrition includes resignation, retirement, dismissal or death in service. Prior to FY24 the results included all exit types excluding redundancies. </t>
  </si>
  <si>
    <t>Parental leave</t>
  </si>
  <si>
    <t>Employees entitled to parental leave</t>
  </si>
  <si>
    <t>Parental leave by gender</t>
  </si>
  <si>
    <t>Return to work after parental leave</t>
  </si>
  <si>
    <t>Retention rates of employees that took parental leave (FY24)</t>
  </si>
  <si>
    <t>Employees still with organisation 12 months after returning
from parental leave (FY24)</t>
  </si>
  <si>
    <t>Employee age groups</t>
  </si>
  <si>
    <t>Employee tenure</t>
  </si>
  <si>
    <t>&lt;1 year</t>
  </si>
  <si>
    <t>1-2 years</t>
  </si>
  <si>
    <t>2-5 years</t>
  </si>
  <si>
    <t>5-10 years</t>
  </si>
  <si>
    <t>10-20 years</t>
  </si>
  <si>
    <t>20+ years</t>
  </si>
  <si>
    <t xml:space="preserve">Attrition rate excluding redundancies </t>
  </si>
  <si>
    <t>Indigenous employees</t>
  </si>
  <si>
    <t xml:space="preserve">Number of First Nations employees (voluntarily self-identified) </t>
  </si>
  <si>
    <t>Employees with a disability</t>
  </si>
  <si>
    <t>Number of employees with a disability (voluntarily self-identified)</t>
  </si>
  <si>
    <t>Contractors and labour Hire</t>
  </si>
  <si>
    <t>Labour hire (headcount)</t>
  </si>
  <si>
    <t>Contractors (headcount) exclude EES</t>
  </si>
  <si>
    <t>Headcount total</t>
  </si>
  <si>
    <t>Labour hire (FTE)</t>
  </si>
  <si>
    <t xml:space="preserve">Contractors (FTE) </t>
  </si>
  <si>
    <t>FTE total</t>
  </si>
  <si>
    <t>Employee engagement</t>
  </si>
  <si>
    <t>MySay employee engagement score (Third party)</t>
  </si>
  <si>
    <t>Learning and development</t>
  </si>
  <si>
    <t>Training undertaken</t>
  </si>
  <si>
    <t>Office-based employees</t>
  </si>
  <si>
    <t>Average hours</t>
  </si>
  <si>
    <t>Field-based employees</t>
  </si>
  <si>
    <t xml:space="preserve">Employees who received professional development training </t>
  </si>
  <si>
    <r>
      <t>Employees who received ESG-related training</t>
    </r>
    <r>
      <rPr>
        <vertAlign val="superscript"/>
        <sz val="12"/>
        <rFont val="Arial"/>
        <family val="2"/>
      </rPr>
      <t>9</t>
    </r>
  </si>
  <si>
    <t>Performance reviews completed</t>
  </si>
  <si>
    <t>9.  Environmental, Social, and Governance (ESG)-related training is defined as formal instruction aimed at acquiring and enhancing ESG-related skills. Examples of ESG-related training include, but are not limited to, training on environment awareness, health and safety, handling of hazardous materials, data confidentiality or code of conduct.</t>
  </si>
  <si>
    <t>Diversity of governance bodies</t>
  </si>
  <si>
    <t>Board</t>
  </si>
  <si>
    <t>ELT</t>
  </si>
  <si>
    <t>Male</t>
  </si>
  <si>
    <t>Female</t>
  </si>
  <si>
    <t>Under 30 years</t>
  </si>
  <si>
    <t>30-50 years</t>
  </si>
  <si>
    <t>50+ years</t>
  </si>
  <si>
    <t xml:space="preserve">          Workforce</t>
  </si>
  <si>
    <t>1. Includes Ausgrid, Distribution Services and Emerging Energy Solutions employees under the Enterprise Agreement or individual contract. Excludes PLUS ES, labour hire and contractors. Prior to FY23, labour hire was included.</t>
  </si>
  <si>
    <t>FY245</t>
  </si>
  <si>
    <r>
      <t>Permanent</t>
    </r>
    <r>
      <rPr>
        <b/>
        <vertAlign val="superscript"/>
        <sz val="12"/>
        <color theme="1"/>
        <rFont val="Arial"/>
        <family val="2"/>
      </rPr>
      <t>4</t>
    </r>
  </si>
  <si>
    <t>Persons identifying as 'other'</t>
  </si>
  <si>
    <t>Hours worked</t>
  </si>
  <si>
    <r>
      <t>Employees hours worked (paid)</t>
    </r>
    <r>
      <rPr>
        <vertAlign val="superscript"/>
        <sz val="12"/>
        <rFont val="Arial"/>
        <family val="2"/>
      </rPr>
      <t>6</t>
    </r>
  </si>
  <si>
    <t>6. Based on hours worked paid Including overtime and paid leave.</t>
  </si>
  <si>
    <t>Persons identifying as other in above roles</t>
  </si>
  <si>
    <t xml:space="preserve">Female people leaders </t>
  </si>
  <si>
    <r>
      <t>Attrition (excluding redundancies)</t>
    </r>
    <r>
      <rPr>
        <b/>
        <vertAlign val="superscript"/>
        <sz val="18"/>
        <color theme="0"/>
        <rFont val="Arial"/>
        <family val="2"/>
      </rPr>
      <t>7</t>
    </r>
  </si>
  <si>
    <t xml:space="preserve">7. Attrition includes resignation, retirement, dismissal or death in service. Prior to FY24 the results included all exit types excluding redundancies. </t>
  </si>
  <si>
    <r>
      <t>Early careers</t>
    </r>
    <r>
      <rPr>
        <b/>
        <vertAlign val="superscript"/>
        <sz val="18"/>
        <color theme="0"/>
        <rFont val="Arial"/>
        <family val="2"/>
      </rPr>
      <t>8</t>
    </r>
  </si>
  <si>
    <t>Internships</t>
  </si>
  <si>
    <t>Apprenticeships</t>
  </si>
  <si>
    <t>Graduates</t>
  </si>
  <si>
    <t>8. Data is number of employees in each category who were in employment during the FY.</t>
  </si>
  <si>
    <t>Parental leave by gender (FY25)</t>
  </si>
  <si>
    <t>Employees still with organisation 12 months after returning 
from parental leave (FY24)</t>
  </si>
  <si>
    <t>Employee arrangements</t>
  </si>
  <si>
    <t>Employees on Enterprise Agreement</t>
  </si>
  <si>
    <t>Employees not on Enterprise Agreement</t>
  </si>
  <si>
    <r>
      <t>Contractors and labour Hire</t>
    </r>
    <r>
      <rPr>
        <b/>
        <vertAlign val="superscript"/>
        <sz val="18"/>
        <color theme="0"/>
        <rFont val="Arial"/>
        <family val="2"/>
      </rPr>
      <t>9</t>
    </r>
  </si>
  <si>
    <t xml:space="preserve">Contractors (headcount) </t>
  </si>
  <si>
    <t>Not available</t>
  </si>
  <si>
    <t>9. FTE only includes Labour Hire.</t>
  </si>
  <si>
    <t>Remuneration</t>
  </si>
  <si>
    <t>Gender pay gap, base salary (median)</t>
  </si>
  <si>
    <t>Gender pay gap, total REM (median)</t>
  </si>
  <si>
    <r>
      <t>Notes:</t>
    </r>
    <r>
      <rPr>
        <sz val="9.5"/>
        <color theme="1"/>
        <rFont val="Arial"/>
        <family val="2"/>
      </rPr>
      <t xml:space="preserve">
Workforce data includes Ausgrid, Distribution Services and Emerging Energy Solutions employees under the Enterprise Agreement or individual contract. Excludes PLUS ES, labour hire and contractors. Prior to FY23, labour hire was included.
Contractors are those that are employed by another party and have IT system access and or a premises access pass. Labour hire are contractors employed via an agency.
The most common type of temporary employees in Ausgrid are Apprentices and Graduates.
Gender pay gap methodology changed in FY24 to match WGEA reporting requirements (median, not average). FY23 updated to reflect this. </t>
    </r>
    <r>
      <rPr>
        <b/>
        <sz val="9.5"/>
        <color theme="1"/>
        <rFont val="Arial"/>
        <family val="2"/>
      </rPr>
      <t xml:space="preserve">
</t>
    </r>
  </si>
  <si>
    <t xml:space="preserve">      Workforce</t>
  </si>
  <si>
    <t>1. Includes PLUS ES employees under individual contracts. Excludes Emerging Energy Solutions, Distribution Services, labour hire and contractors. Prior to FY23, Emerging Energy Solutions and labour employees included.</t>
  </si>
  <si>
    <t xml:space="preserve">2. Prior to FY23, labour hire was included. </t>
  </si>
  <si>
    <t>Full time</t>
  </si>
  <si>
    <t xml:space="preserve">Sydney </t>
  </si>
  <si>
    <t>Persons identifying as 'other' at above locations</t>
  </si>
  <si>
    <t>Part time</t>
  </si>
  <si>
    <r>
      <t>Employees hours worked</t>
    </r>
    <r>
      <rPr>
        <vertAlign val="superscript"/>
        <sz val="12"/>
        <rFont val="Arial"/>
        <family val="2"/>
      </rPr>
      <t>6</t>
    </r>
  </si>
  <si>
    <t>Persons identifying as 'other' in above roles</t>
  </si>
  <si>
    <t>Total employment of persons identifying as 'other'</t>
  </si>
  <si>
    <t>Contractors (headcount) includes EES</t>
  </si>
  <si>
    <r>
      <rPr>
        <b/>
        <sz val="9.5"/>
        <color theme="1"/>
        <rFont val="Arial"/>
        <family val="2"/>
      </rPr>
      <t>Notes:</t>
    </r>
    <r>
      <rPr>
        <sz val="9.5"/>
        <color theme="1"/>
        <rFont val="Arial"/>
        <family val="2"/>
      </rPr>
      <t xml:space="preserve">
Workforce data includes PLUS ES employees under the Enterprise Agreement or individual contract. Excludes Emerging Energy Solutions, Distribution Services, labour hire and contractors. Prior to FY23, Emerging Energy Solutions and labour employees included. 
Contractors are those that are employed by another party and have IT system access and or a premises access pass. Labour hire are contractors employed via an agency.</t>
    </r>
  </si>
  <si>
    <t xml:space="preserve">       Customer Experience</t>
  </si>
  <si>
    <t>Customer experience</t>
  </si>
  <si>
    <t>Customer service</t>
  </si>
  <si>
    <t xml:space="preserve">Complaints resolved within 20 days </t>
  </si>
  <si>
    <t>Outage and emergency calls answered within 30 seconds</t>
  </si>
  <si>
    <t>Contact Centre first contact resolution</t>
  </si>
  <si>
    <t>Service ease</t>
  </si>
  <si>
    <t>Service resolution</t>
  </si>
  <si>
    <t xml:space="preserve">Energy and Water Ombudsman NSW complaints </t>
  </si>
  <si>
    <t>Compliance with energisation date</t>
  </si>
  <si>
    <t>Median energisation time</t>
  </si>
  <si>
    <t>Days</t>
  </si>
  <si>
    <t>Consultative committees</t>
  </si>
  <si>
    <t>Stakeholder consultative committees</t>
  </si>
  <si>
    <t>Reputation and customer surveys</t>
  </si>
  <si>
    <t>Annual stakeholder survey completed (RepTrak)</t>
  </si>
  <si>
    <t>Y/N</t>
  </si>
  <si>
    <t>Y</t>
  </si>
  <si>
    <t>RepTrak stakeholder score</t>
  </si>
  <si>
    <t>Ausgrid Group Environment</t>
  </si>
  <si>
    <r>
      <t>Waste</t>
    </r>
    <r>
      <rPr>
        <b/>
        <vertAlign val="superscript"/>
        <sz val="18"/>
        <color theme="0"/>
        <rFont val="Arial"/>
        <family val="2"/>
      </rPr>
      <t>1</t>
    </r>
  </si>
  <si>
    <t>Waste types (generation/import)</t>
  </si>
  <si>
    <t>Solid waste</t>
  </si>
  <si>
    <t>tonnes</t>
  </si>
  <si>
    <t>Liquid waste</t>
  </si>
  <si>
    <t>kL</t>
  </si>
  <si>
    <t>Hazardous waste</t>
  </si>
  <si>
    <t>Recycling &amp; recovery (disposal/export)</t>
  </si>
  <si>
    <r>
      <t>Solid waste diverted from landfill</t>
    </r>
    <r>
      <rPr>
        <vertAlign val="superscript"/>
        <sz val="12"/>
        <rFont val="Arial"/>
        <family val="2"/>
      </rPr>
      <t>2</t>
    </r>
  </si>
  <si>
    <r>
      <t>Waste recovery - re-used/recycled/energy use</t>
    </r>
    <r>
      <rPr>
        <vertAlign val="superscript"/>
        <sz val="12"/>
        <rFont val="Arial"/>
        <family val="2"/>
      </rPr>
      <t>2</t>
    </r>
  </si>
  <si>
    <r>
      <t>Waste avoided by recycling surplus or redundant equipment and materials</t>
    </r>
    <r>
      <rPr>
        <vertAlign val="superscript"/>
        <sz val="12"/>
        <rFont val="Arial"/>
        <family val="2"/>
      </rPr>
      <t>3</t>
    </r>
  </si>
  <si>
    <t>&gt;33,000</t>
  </si>
  <si>
    <t>&gt;29,000</t>
  </si>
  <si>
    <t>&gt;25,000</t>
  </si>
  <si>
    <t>1. Data is limited to waste disposed via Ausgrid's main waste contractor (currently Veolia), which excludes waste recycled or disposed via Ausgrid works contractors or through other individual waste service providers. Historical waste data (FY21 and earlier) has been adjusted to better reflect current waste categories.
2. % solid waste diverted and % waste recovery figures are are not directly comparable across financial years due to changes in Veolia's reporting system to increase the accuracy of reported figures.
3. Includes scrap metal, cable, network equipment, timber poles, oil, spoil and tree trimming waste.</t>
  </si>
  <si>
    <t>Water</t>
  </si>
  <si>
    <t>Potable water</t>
  </si>
  <si>
    <t>Potable water used</t>
  </si>
  <si>
    <t>Captured / self sourced water</t>
  </si>
  <si>
    <r>
      <t>Captured self sourced water</t>
    </r>
    <r>
      <rPr>
        <vertAlign val="superscript"/>
        <sz val="12"/>
        <rFont val="Arial"/>
        <family val="2"/>
      </rPr>
      <t>4</t>
    </r>
  </si>
  <si>
    <t>Water discharged</t>
  </si>
  <si>
    <r>
      <t>Water treated and discharged</t>
    </r>
    <r>
      <rPr>
        <vertAlign val="superscript"/>
        <sz val="12"/>
        <rFont val="Arial"/>
        <family val="2"/>
      </rPr>
      <t>5</t>
    </r>
  </si>
  <si>
    <r>
      <rPr>
        <b/>
        <sz val="12"/>
        <rFont val="Arial"/>
        <family val="2"/>
      </rPr>
      <t>Water outflows / discharges (</t>
    </r>
    <r>
      <rPr>
        <b/>
        <u/>
        <sz val="12"/>
        <color theme="10"/>
        <rFont val="Arial"/>
        <family val="2"/>
      </rPr>
      <t>GRESB</t>
    </r>
    <r>
      <rPr>
        <b/>
        <sz val="12"/>
        <rFont val="Arial"/>
        <family val="2"/>
      </rPr>
      <t xml:space="preserve"> categories)</t>
    </r>
  </si>
  <si>
    <t>Quality of water discharged to sensitive waterways</t>
  </si>
  <si>
    <t>Freshwater (≤1000 mg/L TDS)</t>
  </si>
  <si>
    <t>Other water (&gt;1000 mg/L TDS)</t>
  </si>
  <si>
    <t>Water outflows/discharges</t>
  </si>
  <si>
    <t>Groundwater</t>
  </si>
  <si>
    <r>
      <t>Seawater / brackish water</t>
    </r>
    <r>
      <rPr>
        <vertAlign val="superscript"/>
        <sz val="12"/>
        <rFont val="Arial"/>
        <family val="2"/>
      </rPr>
      <t>6</t>
    </r>
  </si>
  <si>
    <t>Surface water</t>
  </si>
  <si>
    <t>Third-party re-use</t>
  </si>
  <si>
    <r>
      <t>Third-party treatment</t>
    </r>
    <r>
      <rPr>
        <vertAlign val="superscript"/>
        <sz val="12"/>
        <rFont val="Arial"/>
        <family val="2"/>
      </rPr>
      <t>7,8</t>
    </r>
  </si>
  <si>
    <t>Total water discharged  (GRESB CALCULATED)</t>
  </si>
  <si>
    <t>Total discharge to sensitive waterways  (GRESB CALCULATED)</t>
  </si>
  <si>
    <t>4. Self sourced water is estimated as 50% of the total rainwater tank capacity across Ausgrid sites as usage is not metered. Pre-FY25 figures have been adjusted to correct an error in the previously used units of measure.
5. Includes discharge from Campbell St GWTP, City North GWTP, Druitt St GWTP and Homebush Washbay WTP (covered by an Industrial Trade Waste Agreement).  Excludes other commercial discharges, such as washbays and grease traps, as these are not metered.
6. Includes discharge from Campbell St GWTP, City North GWTP and an estimate of the discharge from Druitt St WTP as the meter is not currently operational.
7. Includes wastewater collected by Ausgrid's aqueous waste contractors and water discharged to sewer from the Homebush washbay WTP (covered by an Industrial Trade Waste Agreement).  Excludes domestic discharges and other commercial discharges, such as washbays and grease traps, as these are not metered.
8. FY25 is an estimate based on FY23 data as the majority of services were provided off-contract, for which data is not available (the increase of 15% on FY23 data accounts for additional services required following two 1-in-100 year floods experienced in FY25).  FY24 was estimated by applying a factor of 1.4 to the data provided by Ausgrid's main aqueous waste contractors as high demand for services required the use of other contractors, for whom data is not available.</t>
  </si>
  <si>
    <t>Biodiversity</t>
  </si>
  <si>
    <t>Habitat management</t>
  </si>
  <si>
    <t>Habitats protected and restored (specific projects)</t>
  </si>
  <si>
    <t>Ha</t>
  </si>
  <si>
    <t>Significant impacts on Key Biodiversity Areas</t>
  </si>
  <si>
    <t>Significant impacts on biodiversity</t>
  </si>
  <si>
    <t>Wildlife</t>
  </si>
  <si>
    <t>Wildlife fatalities</t>
  </si>
  <si>
    <t>Threatened and endangered species fatalities</t>
  </si>
  <si>
    <t>Environmental management systems</t>
  </si>
  <si>
    <t>Environmental management system certification coverage</t>
  </si>
  <si>
    <t>Environmental compliance</t>
  </si>
  <si>
    <t>Legal action</t>
  </si>
  <si>
    <t>Prosecutions</t>
  </si>
  <si>
    <t>Other non-compliances or incidents</t>
  </si>
  <si>
    <t>Licence breaches</t>
  </si>
  <si>
    <t>Reportable environmental incidents</t>
  </si>
  <si>
    <t>Written warnings or infringement notices</t>
  </si>
  <si>
    <t>Total environmental incidents</t>
  </si>
  <si>
    <t>Environment</t>
  </si>
  <si>
    <t>Solid waste diverted from landfill</t>
  </si>
  <si>
    <t>Waste recovery - re-used/recycled/energy use</t>
  </si>
  <si>
    <t>Waste avoided by recycling surplus or redundant equipment and materials</t>
  </si>
  <si>
    <t>1. Ausgrid waste data is calculated as a percentage of Ausgrid Group data, based on headcount. Data inclusions, exclusions and assumptions are detailed in the 'GROUP Environment' tab.</t>
  </si>
  <si>
    <r>
      <t>Water</t>
    </r>
    <r>
      <rPr>
        <b/>
        <vertAlign val="superscript"/>
        <sz val="18"/>
        <color theme="0"/>
        <rFont val="Arial"/>
        <family val="2"/>
      </rPr>
      <t>2</t>
    </r>
  </si>
  <si>
    <r>
      <t>Potable water</t>
    </r>
    <r>
      <rPr>
        <b/>
        <vertAlign val="superscript"/>
        <sz val="12"/>
        <rFont val="Arial"/>
        <family val="2"/>
      </rPr>
      <t>3</t>
    </r>
  </si>
  <si>
    <r>
      <t>Captured / self sourced water</t>
    </r>
    <r>
      <rPr>
        <b/>
        <vertAlign val="superscript"/>
        <sz val="12"/>
        <rFont val="Arial"/>
        <family val="2"/>
      </rPr>
      <t>3</t>
    </r>
  </si>
  <si>
    <t>Captured self sourced water</t>
  </si>
  <si>
    <t>Water treated and discharged</t>
  </si>
  <si>
    <t>Seawater / brackish water</t>
  </si>
  <si>
    <t>Third-party treatment</t>
  </si>
  <si>
    <t>2. Data inclusions, exclusions and assumptions are detailed in the 'GROUP Environment' tab.
3. Ausgrid 'Potable water' and 'Captured / self sourced water' is calculated as a percentage of Ausgrid Group data, based on headcount.</t>
  </si>
  <si>
    <t>Waste diverted for recycling</t>
  </si>
  <si>
    <t>Waste diverted for energy / recovery</t>
  </si>
  <si>
    <t>1. PLUS ES waste data is calculated as a percentage of Ausgrid Group data, based on headcount. Data inclusions, exclusions and assumptions are detailed in the 'GROUP Environment' tab.</t>
  </si>
  <si>
    <t>2. PLUS ES water data is calculated as a percentage of Ausgrid Group data, based on headcount. Data inclusions, exclusions and assumptions are detailed in the 'GROUP Environment' tab.</t>
  </si>
  <si>
    <t>Certified environmental management systems</t>
  </si>
  <si>
    <t>Environmental management system certification coverage (NSW only)</t>
  </si>
  <si>
    <t>Power Supplied</t>
  </si>
  <si>
    <t>Power supplied</t>
  </si>
  <si>
    <t>Power supplied to residential customers</t>
  </si>
  <si>
    <t>GWh</t>
  </si>
  <si>
    <t>Power supplied to business customers</t>
  </si>
  <si>
    <t>Total power sold</t>
  </si>
  <si>
    <t>Number of customers</t>
  </si>
  <si>
    <t>Residential customers (households)</t>
  </si>
  <si>
    <r>
      <t>Number</t>
    </r>
    <r>
      <rPr>
        <vertAlign val="superscript"/>
        <sz val="12"/>
        <rFont val="Arial"/>
        <family val="2"/>
      </rPr>
      <t>1</t>
    </r>
  </si>
  <si>
    <t>Business customers</t>
  </si>
  <si>
    <t>Total number of residental and business customers</t>
  </si>
  <si>
    <t>Life support customers</t>
  </si>
  <si>
    <t xml:space="preserve">Tariffs </t>
  </si>
  <si>
    <t>New and existing residential and business customer transfers to demand tariffs</t>
  </si>
  <si>
    <t>Total residential and business customers on demand tariffs</t>
  </si>
  <si>
    <t>Share of residential and business customers on demand tariffs</t>
  </si>
  <si>
    <t>Reliability</t>
  </si>
  <si>
    <t>System Average Interruption Duration Index (SAIDI)</t>
  </si>
  <si>
    <r>
      <t>Minutes</t>
    </r>
    <r>
      <rPr>
        <vertAlign val="superscript"/>
        <sz val="12"/>
        <rFont val="Arial"/>
        <family val="2"/>
      </rPr>
      <t>2</t>
    </r>
  </si>
  <si>
    <t>System Average Interruption Frequency Index (SAIFI)</t>
  </si>
  <si>
    <r>
      <t>Number</t>
    </r>
    <r>
      <rPr>
        <vertAlign val="superscript"/>
        <sz val="12"/>
        <rFont val="Arial"/>
        <family val="2"/>
      </rPr>
      <t>3</t>
    </r>
  </si>
  <si>
    <t>Power prices</t>
  </si>
  <si>
    <t>Network charge - average residential customer revenue</t>
  </si>
  <si>
    <r>
      <t>$/year nominal</t>
    </r>
    <r>
      <rPr>
        <vertAlign val="superscript"/>
        <sz val="12"/>
        <rFont val="Arial"/>
        <family val="2"/>
      </rPr>
      <t>4</t>
    </r>
  </si>
  <si>
    <t>Clean energy</t>
  </si>
  <si>
    <t>Fossil fuels</t>
  </si>
  <si>
    <t>Electric vehicle infrastructure</t>
  </si>
  <si>
    <t xml:space="preserve">Pole-mounted </t>
  </si>
  <si>
    <t>Kiosk</t>
  </si>
  <si>
    <t xml:space="preserve">Total charging stations on Ausgrid assets </t>
  </si>
  <si>
    <t>Total electricity delivered</t>
  </si>
  <si>
    <t>MWh</t>
  </si>
  <si>
    <t>EV's in Ausgrid's network area</t>
  </si>
  <si>
    <t>Road-registered passenger vehicles in Ausgrid area that are EV</t>
  </si>
  <si>
    <t>Community batteries installed (cumulative)</t>
  </si>
  <si>
    <t xml:space="preserve">Number </t>
  </si>
  <si>
    <t>Total storage of Ausgrid owned community batteries (cumulative)</t>
  </si>
  <si>
    <t>kWh</t>
  </si>
  <si>
    <t>Grid-scale BESS (100MW+)</t>
  </si>
  <si>
    <t>Total grid scale batteries connected to Ausgrid network.</t>
  </si>
  <si>
    <t>Total capacity of grid scale BESS connected to Ausgrid network.</t>
  </si>
  <si>
    <t>Stand Alone Power Systems (SAPS)</t>
  </si>
  <si>
    <t>Installed and commissioned this year</t>
  </si>
  <si>
    <t>Electricity generated this year</t>
  </si>
  <si>
    <t>Total installed and commissioned to date</t>
  </si>
  <si>
    <t>Total electricity generated to date</t>
  </si>
  <si>
    <t>Microgrids</t>
  </si>
  <si>
    <t>Electricity generated by Ausgrid this year</t>
  </si>
  <si>
    <t>N/A</t>
  </si>
  <si>
    <t>Number of Ausgrid owned streetlights</t>
  </si>
  <si>
    <t>Percentage owned by Ausgrid converted to LED</t>
  </si>
  <si>
    <t>Number owned by Ausgrid converted to LED in FY25</t>
  </si>
  <si>
    <t>Annual energy saved from streetlight LED upgrade in FY25</t>
  </si>
  <si>
    <t>Customer owned solar connections in our network</t>
  </si>
  <si>
    <t>Network customers with solar connection</t>
  </si>
  <si>
    <t>Residential customers</t>
  </si>
  <si>
    <t>Total customers</t>
  </si>
  <si>
    <t xml:space="preserve">Total capacity installed </t>
  </si>
  <si>
    <t>MW</t>
  </si>
  <si>
    <t xml:space="preserve">Average size of PV system </t>
  </si>
  <si>
    <t>kW</t>
  </si>
  <si>
    <t>Ausgrid Group Energy &amp; Emissions</t>
  </si>
  <si>
    <t>Emissions</t>
  </si>
  <si>
    <t>Greenhouse gas emissions</t>
  </si>
  <si>
    <t>Total carbon emissions (Scope 1 and 2, location based)</t>
  </si>
  <si>
    <t>t/CO2-e</t>
  </si>
  <si>
    <t>Percentage reduction in scope 1 and 2 emissions from FY20</t>
  </si>
  <si>
    <t>Total carbon emissions (Scope 1, 2 and 3)¹</t>
  </si>
  <si>
    <t>Carbon footprint scope 1</t>
  </si>
  <si>
    <t>Carbon footprint Scope 1</t>
  </si>
  <si>
    <t>Percentage reduction in Scope 1 emissions from FY20</t>
  </si>
  <si>
    <t>Carbon footprint scope 1 component parts</t>
  </si>
  <si>
    <t>Stationary energy use</t>
  </si>
  <si>
    <t>Transport energy use</t>
  </si>
  <si>
    <t>Sulphur Hexafluoride (SF6)²</t>
  </si>
  <si>
    <t>Carbon footprint scope 2 (location-based)</t>
  </si>
  <si>
    <t>Percentage reduction in Scope 2 emissions from FY20</t>
  </si>
  <si>
    <t>Carbon footprint scope 2 component parts</t>
  </si>
  <si>
    <t>Property electricity emissions³</t>
  </si>
  <si>
    <t>Line losses during distribution of electricity on our network</t>
  </si>
  <si>
    <t>GJ</t>
  </si>
  <si>
    <t>Average line losses on our network</t>
  </si>
  <si>
    <t>Carbon footprint scope 3</t>
  </si>
  <si>
    <r>
      <t>Carbon footprint Scope 3 - Total GHG protocol categories</t>
    </r>
    <r>
      <rPr>
        <vertAlign val="superscript"/>
        <sz val="12"/>
        <rFont val="Arial"/>
        <family val="2"/>
      </rPr>
      <t>4</t>
    </r>
  </si>
  <si>
    <t>Carbon footprint scope 3 GHG protocol categories</t>
  </si>
  <si>
    <t>Category 1: Purchased goods and services</t>
  </si>
  <si>
    <t>Category 2: Capital goods</t>
  </si>
  <si>
    <t>Category 3: Fuel and energy related</t>
  </si>
  <si>
    <t>Category 4: Upstream transport</t>
  </si>
  <si>
    <t>Not material</t>
  </si>
  <si>
    <t>Category 5: Waste</t>
  </si>
  <si>
    <t>Category 6: Business travel</t>
  </si>
  <si>
    <t>Category 7: Employee commuting</t>
  </si>
  <si>
    <t>Category 8: Upstream leased assets</t>
  </si>
  <si>
    <t>Not relevant</t>
  </si>
  <si>
    <t>Category 9: Downstream transport</t>
  </si>
  <si>
    <t>Category 10: Processing of sold products</t>
  </si>
  <si>
    <t>Category 11: Use of sold products</t>
  </si>
  <si>
    <t>Category 12: End-of-life treatment of sold products</t>
  </si>
  <si>
    <t>Category 13: Downstream leased assets</t>
  </si>
  <si>
    <t>Category 14: Franchises</t>
  </si>
  <si>
    <t>Category 15: Investments</t>
  </si>
  <si>
    <r>
      <t>Historical scope 3 emissions (streetlights, waste, business travel)</t>
    </r>
    <r>
      <rPr>
        <b/>
        <vertAlign val="superscript"/>
        <sz val="12"/>
        <color rgb="FF000000"/>
        <rFont val="Arial"/>
        <family val="2"/>
      </rPr>
      <t>4</t>
    </r>
  </si>
  <si>
    <t>1. Our SBTi endorsed targets are Group level targets, these will be the numbers we use for tracking progress against SBTi targets.
2. SF6 aggregate loss at emission source accounting commenced in FY23 (Method 3, NGER Determination s4.104(2)). Previous year's figures are estimates based on default annual leakage rates (Method 1, NGER Determination s4.102, item 4).
3. Electricity emissions were calculated based on scope 2 location-based approach and as such it does not reflect our power purchase agreement which accounted for all our property electricity purchases in FY25. On a market-based methodology this would be zero. FY24 figure was restated from 4,475 t/CO2-e to also reflect a location-based approach. This has also meant we have restated FY24 values for Total carbon emissions Scope 1 &amp; 2 (location based), Total carbon emissions (Scope 1, 2 and 3) and Carbon footprint scope 2 (location-based).
4. Our Scope 3 baseline was calculated on FY21 data using the GHG protocol categories listed above and submitted to Science Based Targets initiative in FY22. Subsequent years, including FY25,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but we no longer report against these categories. We have apportioned the FY21 Group level Scope 3 emissions to Ausgrid and PLUS ES based on headcount, which fluctuates year on year.</t>
  </si>
  <si>
    <t>Energy use and efficiency</t>
  </si>
  <si>
    <t>Energy consumed</t>
  </si>
  <si>
    <t>Energy use (Scope 1 &amp; 2)</t>
  </si>
  <si>
    <t>Power generation and production</t>
  </si>
  <si>
    <t>Renewable energy generated for our use</t>
  </si>
  <si>
    <r>
      <rPr>
        <sz val="12"/>
        <color rgb="FF000000"/>
        <rFont val="Arial"/>
        <family val="2"/>
      </rPr>
      <t>Solar</t>
    </r>
    <r>
      <rPr>
        <vertAlign val="superscript"/>
        <sz val="12"/>
        <color rgb="FF000000"/>
        <rFont val="Arial"/>
        <family val="2"/>
      </rPr>
      <t>5</t>
    </r>
  </si>
  <si>
    <t>5. Due to data disruptions for solar generation, the reported number was completed from statistical modelling in FY21 &amp; FY22.</t>
  </si>
  <si>
    <r>
      <t>Emission Factors for Scope 2 NSW Grid (kg CO</t>
    </r>
    <r>
      <rPr>
        <b/>
        <vertAlign val="subscript"/>
        <sz val="10"/>
        <rFont val="Calibri"/>
        <family val="2"/>
        <scheme val="minor"/>
      </rPr>
      <t>2-</t>
    </r>
    <r>
      <rPr>
        <sz val="11"/>
        <rFont val="Calibri"/>
        <family val="2"/>
        <scheme val="minor"/>
      </rPr>
      <t>e/kWh)</t>
    </r>
  </si>
  <si>
    <t>Energy Consumed</t>
  </si>
  <si>
    <t>Ausgrid</t>
  </si>
  <si>
    <t xml:space="preserve">           Energy &amp; Emissions</t>
  </si>
  <si>
    <t>Total carbon emissions (Scope 1 and 2)¹</t>
  </si>
  <si>
    <t>Total carbon emissions (Scope 1, 2 and 3)</t>
  </si>
  <si>
    <t>Carbon footprint scope 2</t>
  </si>
  <si>
    <t>Property electricity emissions</t>
  </si>
  <si>
    <t>Carbon footprint Scope 3 - Total GHG protocol categories³</t>
  </si>
  <si>
    <t>Categories total</t>
  </si>
  <si>
    <t>1. NGER reporting covers Scope 1 &amp; 2 emissions only and only Ausgrid (not PLUS ES), these are the numbers we use for NGER reporting.
2. SF6 aggregate loss at emission source accounting commenced in FY23 (Method 3, NGER Determination s4.104(2)). Previous year's figures are estimates based on default annual leakage rates (Method 1, NGER Determination s4.102, item 4).
3. Our Scope 3 baseline was calculated on FY21 data using the GHG protocol categories listed above and submitted to Science Based Targets initiative in FY22. Subsequent years, including FY25,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levelSscope 3 emissions to Ausgrid and PLUS ES based on headcount, which fluctuates year on year.</t>
  </si>
  <si>
    <t>Renewable energy generation and use</t>
  </si>
  <si>
    <r>
      <t>Onsite renewable energy generated (solar)</t>
    </r>
    <r>
      <rPr>
        <vertAlign val="superscript"/>
        <sz val="12"/>
        <rFont val="Arial"/>
        <family val="2"/>
      </rPr>
      <t>4</t>
    </r>
  </si>
  <si>
    <t>Onsite renewable energy system capacity (solar)</t>
  </si>
  <si>
    <t>Offsite renewable energy purchased (power purchase agreement)</t>
  </si>
  <si>
    <t xml:space="preserve">4. Due to data disruptions for solar generation, the reported number was complete from statistical modelling in FY21 &amp; FY22. </t>
  </si>
  <si>
    <t>Energy &amp; Emissions</t>
  </si>
  <si>
    <t>Total carbon emissions (Scope 1 and 2)</t>
  </si>
  <si>
    <t>Carbon footprint Scope 3 - Total GHG protocol categories¹</t>
  </si>
  <si>
    <t>1. Our Scope 3 baseline was calculated on FY21 data using the GHG protocol categories listed above and submitted to Science Based Targets initiative in FY22. Subsequent years, including FY25,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 Scope 3 emissions to Ausgrid and PLUS ES based on headcount, which fluctuates year on year.</t>
  </si>
  <si>
    <t>Used to apportion emissions, waste and water data</t>
  </si>
  <si>
    <t>Number of Ausgrid employees</t>
  </si>
  <si>
    <t>Count</t>
  </si>
  <si>
    <t>Number of PLUS ES employees</t>
  </si>
  <si>
    <t>% PLUS ES</t>
  </si>
  <si>
    <t>Note: FY24 figures do not include labour hire, whereas FY23 and earlier do include labour hire.</t>
  </si>
  <si>
    <r>
      <t xml:space="preserve">                      Ausgrid Group Health &amp; Safety</t>
    </r>
    <r>
      <rPr>
        <b/>
        <vertAlign val="superscript"/>
        <sz val="24"/>
        <color theme="0"/>
        <rFont val="Arial"/>
        <family val="2"/>
      </rPr>
      <t>1</t>
    </r>
  </si>
  <si>
    <t xml:space="preserve">Employee and contractor safety </t>
  </si>
  <si>
    <t>Managing personal safety</t>
  </si>
  <si>
    <r>
      <t>Total recordable injury frequency rate (TRIFR)</t>
    </r>
    <r>
      <rPr>
        <vertAlign val="superscript"/>
        <sz val="12"/>
        <color theme="1"/>
        <rFont val="Arial"/>
        <family val="2"/>
      </rPr>
      <t>2</t>
    </r>
  </si>
  <si>
    <r>
      <t>Lost time injury frequency rate (LTIFR)</t>
    </r>
    <r>
      <rPr>
        <vertAlign val="superscript"/>
        <sz val="12"/>
        <color theme="1"/>
        <rFont val="Arial"/>
        <family val="2"/>
      </rPr>
      <t>2</t>
    </r>
  </si>
  <si>
    <t>Employee fatalities</t>
  </si>
  <si>
    <t>Employee health and safety</t>
  </si>
  <si>
    <t>Injury</t>
  </si>
  <si>
    <t>All injuries (including First Aid and no treatment)</t>
  </si>
  <si>
    <t xml:space="preserve">Manual handling injuries (all injuries) </t>
  </si>
  <si>
    <r>
      <t>Total recordable injuries</t>
    </r>
    <r>
      <rPr>
        <vertAlign val="superscript"/>
        <sz val="12"/>
        <color theme="1"/>
        <rFont val="Arial"/>
        <family val="2"/>
      </rPr>
      <t>3</t>
    </r>
  </si>
  <si>
    <t>Lost time injuries</t>
  </si>
  <si>
    <t>Near misses</t>
  </si>
  <si>
    <t>Preventative</t>
  </si>
  <si>
    <t>Employees covered by Health and Safety Management System</t>
  </si>
  <si>
    <r>
      <t>Independent health and safety audits conducted</t>
    </r>
    <r>
      <rPr>
        <vertAlign val="superscript"/>
        <sz val="12"/>
        <rFont val="Arial"/>
        <family val="2"/>
      </rPr>
      <t>4</t>
    </r>
  </si>
  <si>
    <r>
      <t>AEDs owned (automated external defibrillator)</t>
    </r>
    <r>
      <rPr>
        <vertAlign val="superscript"/>
        <sz val="12"/>
        <rFont val="Arial"/>
        <family val="2"/>
      </rPr>
      <t>5</t>
    </r>
  </si>
  <si>
    <t>Mental health first aid trainers</t>
  </si>
  <si>
    <t>Health checks (voluntary)</t>
  </si>
  <si>
    <t>Medical and functional checks</t>
  </si>
  <si>
    <r>
      <t>Vaccinations - influenza (voluntary)</t>
    </r>
    <r>
      <rPr>
        <vertAlign val="superscript"/>
        <sz val="12"/>
        <color theme="1"/>
        <rFont val="Arial"/>
        <family val="2"/>
      </rPr>
      <t>6</t>
    </r>
  </si>
  <si>
    <r>
      <t>Community health and safety</t>
    </r>
    <r>
      <rPr>
        <b/>
        <vertAlign val="superscript"/>
        <sz val="18"/>
        <color theme="0"/>
        <rFont val="Arial"/>
        <family val="2"/>
      </rPr>
      <t>7</t>
    </r>
  </si>
  <si>
    <t>Public safety</t>
  </si>
  <si>
    <r>
      <t>Electrical Safety Week - primary schools participation</t>
    </r>
    <r>
      <rPr>
        <vertAlign val="superscript"/>
        <sz val="12"/>
        <color theme="1"/>
        <rFont val="Arial"/>
        <family val="2"/>
      </rPr>
      <t>8</t>
    </r>
  </si>
  <si>
    <t>Incidents</t>
  </si>
  <si>
    <t>Third party motor vehicle pole collisions</t>
  </si>
  <si>
    <t>Third party motor vehicle pillar kiosk collisions</t>
  </si>
  <si>
    <t>Third party contact with overhead assets</t>
  </si>
  <si>
    <t>Third party contact with underground assets</t>
  </si>
  <si>
    <t>Fatalities (member of the public)</t>
  </si>
  <si>
    <t>Total recordable injuries (member of the public)</t>
  </si>
  <si>
    <t>7. Community refers to members of the public.
8. Refers to primary schools in our catchment area.</t>
  </si>
  <si>
    <t>Contractors</t>
  </si>
  <si>
    <t>Fatalities</t>
  </si>
  <si>
    <t>Total recordable injury frequency rate (TRIFR)</t>
  </si>
  <si>
    <t>Lost time injury frequency rate (LTIFR)</t>
  </si>
  <si>
    <t>Total recordable injuries</t>
  </si>
  <si>
    <t>Contractors covered by Health and Safety Management System</t>
  </si>
  <si>
    <r>
      <t>User health and safety</t>
    </r>
    <r>
      <rPr>
        <b/>
        <vertAlign val="superscript"/>
        <sz val="18"/>
        <color theme="0"/>
        <rFont val="Arial"/>
        <family val="2"/>
      </rPr>
      <t>9</t>
    </r>
  </si>
  <si>
    <t xml:space="preserve">Fatalities </t>
  </si>
  <si>
    <t xml:space="preserve">Total recordable injuries </t>
  </si>
  <si>
    <t>9. A user is a third-party public worker who is not employed by, or a contractor, of Ausgrid.</t>
  </si>
  <si>
    <r>
      <t>Health &amp; Safety</t>
    </r>
    <r>
      <rPr>
        <b/>
        <vertAlign val="superscript"/>
        <sz val="24"/>
        <color theme="0"/>
        <rFont val="Arial"/>
        <family val="2"/>
      </rPr>
      <t>1</t>
    </r>
  </si>
  <si>
    <t xml:space="preserve">Employee &amp; contractor safety </t>
  </si>
  <si>
    <t>Employee health</t>
  </si>
  <si>
    <r>
      <t>Total recordable injuries</t>
    </r>
    <r>
      <rPr>
        <vertAlign val="superscript"/>
        <sz val="12"/>
        <color theme="1"/>
        <rFont val="Arial"/>
        <family val="2"/>
      </rPr>
      <t>2</t>
    </r>
  </si>
  <si>
    <t>1. Data includes PLUS ES, Emerging Energy Solutions employees and contractors.
2. Total Recordable Injuries &amp; TRIFR - Some previously reported results have been restated due to HR structural FTE, remapping of employee/contractor data and contractor assignment. Added separate line for contractor recordable injuries to align with employee data points</t>
  </si>
  <si>
    <t xml:space="preserve">                                                    GRI Index</t>
  </si>
  <si>
    <t>GRI Standard</t>
  </si>
  <si>
    <t>Disclosure</t>
  </si>
  <si>
    <t>Notes</t>
  </si>
  <si>
    <t>General Disclosures</t>
  </si>
  <si>
    <t>GRI 1: Foundation 2021</t>
  </si>
  <si>
    <t>The requirements and principles for using the GRI Standards and is applicable to all companies using the GRI Standards to inform sustainability reporting.</t>
  </si>
  <si>
    <t>GRI 2: General Disclosures 2021</t>
  </si>
  <si>
    <t>The organisation and its reporting practices</t>
  </si>
  <si>
    <t>2-1 Organisational details</t>
  </si>
  <si>
    <t>2-2 Entities included in the organisation’s sustainability reporting</t>
  </si>
  <si>
    <t>2-3 Reporting period, frequency and contact point</t>
  </si>
  <si>
    <t>2-4 Restatements of information</t>
  </si>
  <si>
    <t>2-5 External assurance</t>
  </si>
  <si>
    <t>Activities and workers</t>
  </si>
  <si>
    <t>2-6 Activities, value chain and other business relationships</t>
  </si>
  <si>
    <t>2-7 Employees</t>
  </si>
  <si>
    <t>2-8 Workers who are not employees</t>
  </si>
  <si>
    <t>Governance</t>
  </si>
  <si>
    <t>2-9 Governance structure and composition</t>
  </si>
  <si>
    <t>2-10 Nomination and selection of the highest governance body</t>
  </si>
  <si>
    <t>2-11 Chair of the highest governance body</t>
  </si>
  <si>
    <t>2-12 Role of the highest governance body in overseeing the management of impacts</t>
  </si>
  <si>
    <t>2-13 Delegation of responsibility for managing impacts</t>
  </si>
  <si>
    <t>2-14 Role of the highest governance body in sustainability reporting</t>
  </si>
  <si>
    <t>2-15 Conflicts of interest</t>
  </si>
  <si>
    <t>2-16 Communication of critical concerns</t>
  </si>
  <si>
    <t>2-17 Collective knowledge of the highest governance body</t>
  </si>
  <si>
    <t>2-18 Evaluation of the performance of the highest governance body</t>
  </si>
  <si>
    <t>2-19 Remuneration policies</t>
  </si>
  <si>
    <t>2-20 Process to determine remuneration</t>
  </si>
  <si>
    <t>2-21 Annual total compensation ratio</t>
  </si>
  <si>
    <t>Strategy, policies and practices</t>
  </si>
  <si>
    <t>2-22 Statement on sustainable development strategy</t>
  </si>
  <si>
    <t>2-23 Policy commitments</t>
  </si>
  <si>
    <t>2-24 Embedding policy commitments</t>
  </si>
  <si>
    <t>2-25 Processes to remediate negative impacts</t>
  </si>
  <si>
    <t>2-26 Mechanisms for seeking advice and raising concerns</t>
  </si>
  <si>
    <t>2-27 Compliance with laws and regulations</t>
  </si>
  <si>
    <t>2-28 Membership associations</t>
  </si>
  <si>
    <t>Stakeholder engagement</t>
  </si>
  <si>
    <t>2-29 Approach to stakeholder engagement</t>
  </si>
  <si>
    <t>2-30 Collective bargaining agreements</t>
  </si>
  <si>
    <t>GRI 3: Material Topics 2021</t>
  </si>
  <si>
    <t>3-1 Process to determine material topics</t>
  </si>
  <si>
    <t>3-2 List of material topics</t>
  </si>
  <si>
    <t>3-3 Management of material topics</t>
  </si>
  <si>
    <t>Material Topics</t>
  </si>
  <si>
    <t>Community engagement</t>
  </si>
  <si>
    <t>GRI 411: Rights of Indigenous Peoples 2016</t>
  </si>
  <si>
    <t>411-1 Incidents of violations involving rights of indigenous peoples</t>
  </si>
  <si>
    <t>GRI 413: Local Communities 2016</t>
  </si>
  <si>
    <t>413-1 Operations with local community engagement, impact assessments, and development programs</t>
  </si>
  <si>
    <t>Our metric</t>
  </si>
  <si>
    <t>Outages and emergency calls answered within 30 seconds</t>
  </si>
  <si>
    <t>Complaint resolution</t>
  </si>
  <si>
    <t>Access &amp; affordability</t>
  </si>
  <si>
    <t>Health, safety &amp; wellbeing</t>
  </si>
  <si>
    <t>GRI 403: Occupational Health and Safety 2018</t>
  </si>
  <si>
    <t>403-1 Occupational health and safety management system</t>
  </si>
  <si>
    <t>403-2 Hazard identification, risk assessment, and incident investigation</t>
  </si>
  <si>
    <t>403-3 Occupational health services</t>
  </si>
  <si>
    <t>403-4 Worker participation, consultation, and communication on occupational health and safety</t>
  </si>
  <si>
    <t>403-5 Worker training on occupational health and safety</t>
  </si>
  <si>
    <t>403-6 Promotion of worker health</t>
  </si>
  <si>
    <t>403-8 Workers covered by an occupational health and safety management system</t>
  </si>
  <si>
    <t>403-9 Work-related injuries</t>
  </si>
  <si>
    <t>Diversity, equity and inclusion</t>
  </si>
  <si>
    <t>GRI 405: Diversity and Equal Opportunity 2016</t>
  </si>
  <si>
    <t>405-1 Diversity of governance bodies and employees</t>
  </si>
  <si>
    <t>405-2 Ratio of basic salary and remuneration of women to men</t>
  </si>
  <si>
    <t>GRI 406: Non-discrimination 2016</t>
  </si>
  <si>
    <t>406-1 Incidents of discrimination and corrective actions taken</t>
  </si>
  <si>
    <t>Employee development, attraction &amp; retention</t>
  </si>
  <si>
    <t>GRI 401: Employment 2016</t>
  </si>
  <si>
    <t>401-1 New employee hires and employee turnover</t>
  </si>
  <si>
    <t>401-2 Benefits provided to full-time employees that are not provided to temporary or part-time employees</t>
  </si>
  <si>
    <t>401-3 Parental leave</t>
  </si>
  <si>
    <t>GRI 404: Training and Education 2016</t>
  </si>
  <si>
    <t>404-1 Average hours of training per year per employee</t>
  </si>
  <si>
    <t>404-2 Programs for upgrading employee skills and transition assistance programs</t>
  </si>
  <si>
    <t>404-3 Percentage of employees receiving regular performance and career development reviews</t>
  </si>
  <si>
    <t>Supply chain &amp; human rights</t>
  </si>
  <si>
    <t>GRI 204: Procurement Practices 2016</t>
  </si>
  <si>
    <t>204-1 Proportion of spending on local suppliers</t>
  </si>
  <si>
    <t>GRI 414: Supplier Social Assessment 2016</t>
  </si>
  <si>
    <t>414-1 New suppliers that were screened using social criteria</t>
  </si>
  <si>
    <t>414-2 Negative social impacts in the supply chain and actions taken</t>
  </si>
  <si>
    <t>Environment &amp; biodiversity</t>
  </si>
  <si>
    <t>GRI 304: Biodiversity 2016</t>
  </si>
  <si>
    <t>304-1 Operational sites owned, leased, managed in, or adjacent to, protected areas and areas of high biodiversity value outside protected areas</t>
  </si>
  <si>
    <t xml:space="preserve">304-2 Significant impacts of activities, products, and services on biodiversity </t>
  </si>
  <si>
    <t xml:space="preserve">304-3 Habitats protected or restored </t>
  </si>
  <si>
    <t>Own metric</t>
  </si>
  <si>
    <t xml:space="preserve">Waste avoided by recycling surplus or redundant equipment </t>
  </si>
  <si>
    <t>Cyber security</t>
  </si>
  <si>
    <t>GRI 418: Customer Privacy 2016</t>
  </si>
  <si>
    <t>418-1 Substantiated complaints concerning breaches of customer privacy and losses of customer data</t>
  </si>
  <si>
    <t>Community and network resilience</t>
  </si>
  <si>
    <t>Energy transition</t>
  </si>
  <si>
    <t>GRI 305: Emissions 2016</t>
  </si>
  <si>
    <t>305-1 Direct (Scope 1) GHG emissions</t>
  </si>
  <si>
    <t>305-2 Energy indirect (Scope 2) GHG emissions</t>
  </si>
  <si>
    <t>305-3 Other indirect (Scope 3) GHG emissions</t>
  </si>
  <si>
    <t>305-5 Reduction of GHG emissions</t>
  </si>
  <si>
    <r>
      <t>Ausgrid supply chain spend</t>
    </r>
    <r>
      <rPr>
        <b/>
        <vertAlign val="superscript"/>
        <sz val="18"/>
        <color theme="0"/>
        <rFont val="Arial"/>
        <family val="2"/>
      </rPr>
      <t>2</t>
    </r>
  </si>
  <si>
    <t>2. FY24 data has been restated due to a continuous review of supplier spend (addressable and non-addressable) and other relevant information. FY23 - FY17 data has been disclosed for the first time.</t>
  </si>
  <si>
    <t>3. FY24 data has been restated due to a continuous review of supplier spend (addressable and non-addressable) and other relevant information. FY23 and FY22 data has been disclosed for the first time.</t>
  </si>
  <si>
    <r>
      <t>PLUS ES supply chain spend</t>
    </r>
    <r>
      <rPr>
        <b/>
        <vertAlign val="superscript"/>
        <sz val="18"/>
        <color theme="0"/>
        <rFont val="Arial"/>
        <family val="2"/>
      </rPr>
      <t>3</t>
    </r>
  </si>
  <si>
    <r>
      <t>ELT</t>
    </r>
    <r>
      <rPr>
        <b/>
        <vertAlign val="superscript"/>
        <sz val="12"/>
        <rFont val="Arial"/>
        <family val="2"/>
      </rPr>
      <t>1</t>
    </r>
  </si>
  <si>
    <r>
      <rPr>
        <b/>
        <sz val="9.5"/>
        <rFont val="Arial"/>
        <family val="2"/>
      </rPr>
      <t>Notes:</t>
    </r>
    <r>
      <rPr>
        <sz val="9.5"/>
        <rFont val="Arial"/>
        <family val="2"/>
      </rPr>
      <t xml:space="preserve">
Workforce data includes Ausgrid, PLUS ES and Emerging Energy Solutions employees under the Enterprise Agreement or individual contract. Excludes labour hire and contractors. Prior to FY23, labour hire was included.
Contractors are those that are employed by another party and have IT system access and or a premises access pass. Labour hire are contractors employed via an agency.
1. Patrick Boocock was in the role of Chief Financial Officer and Group Executive – Business Services during the FY25 reporting period which is the scope of this Corporate Governance Supplement. Ellen Lambridis commenced in this position in August 2025 following Patrick Boocock’s departure in August 2025. After August 2025, the ELT was comprised of 3 women and 6 men.</t>
    </r>
  </si>
  <si>
    <r>
      <t>NSW grid generation mix</t>
    </r>
    <r>
      <rPr>
        <b/>
        <vertAlign val="superscript"/>
        <sz val="12"/>
        <rFont val="Arial"/>
        <family val="2"/>
      </rPr>
      <t>5</t>
    </r>
  </si>
  <si>
    <r>
      <t>Public EV charging stations on Ausgrid assets</t>
    </r>
    <r>
      <rPr>
        <b/>
        <vertAlign val="superscript"/>
        <sz val="12"/>
        <rFont val="Arial"/>
        <family val="2"/>
      </rPr>
      <t xml:space="preserve">6 </t>
    </r>
    <r>
      <rPr>
        <b/>
        <sz val="12"/>
        <rFont val="Arial"/>
        <family val="2"/>
      </rPr>
      <t xml:space="preserve"> </t>
    </r>
  </si>
  <si>
    <t>6. Cumulative data. Does not include other EV chargers in our network area.</t>
  </si>
  <si>
    <r>
      <t>Batteries</t>
    </r>
    <r>
      <rPr>
        <b/>
        <vertAlign val="superscript"/>
        <sz val="18"/>
        <color theme="0"/>
        <rFont val="Arial"/>
        <family val="2"/>
      </rPr>
      <t>7</t>
    </r>
  </si>
  <si>
    <r>
      <t>Community batteries (&lt;5MW)</t>
    </r>
    <r>
      <rPr>
        <vertAlign val="superscript"/>
        <sz val="11"/>
        <color theme="1"/>
        <rFont val="Calibri"/>
        <family val="2"/>
        <scheme val="minor"/>
      </rPr>
      <t>8</t>
    </r>
    <r>
      <rPr>
        <b/>
        <sz val="12"/>
        <rFont val="Arial"/>
        <family val="2"/>
      </rPr>
      <t xml:space="preserve"> </t>
    </r>
  </si>
  <si>
    <r>
      <t>5 MW community batteries (cumulative)</t>
    </r>
    <r>
      <rPr>
        <vertAlign val="superscript"/>
        <sz val="11"/>
        <color theme="1"/>
        <rFont val="Calibri"/>
        <family val="2"/>
        <scheme val="minor"/>
      </rPr>
      <t>9</t>
    </r>
  </si>
  <si>
    <t>7. Cumulative data. Includes only Ausgrid assets. 
8. Community batteries includes pole-mounted and pad-mounted batteries. These were previously included as separate line items which have been combined and historic data points have been restated.
9. '5 MW community batteries' are also included within the 'Community batteries installed (cumulative)' and 'Total storage of Ausgrid owned community batteries (cumulative)' metrics.</t>
  </si>
  <si>
    <r>
      <t>SAPS owned by Ausgrid</t>
    </r>
    <r>
      <rPr>
        <b/>
        <vertAlign val="superscript"/>
        <sz val="12"/>
        <rFont val="Arial"/>
        <family val="2"/>
      </rPr>
      <t>10</t>
    </r>
    <r>
      <rPr>
        <b/>
        <sz val="12"/>
        <rFont val="Arial"/>
        <family val="2"/>
      </rPr>
      <t xml:space="preserve"> </t>
    </r>
  </si>
  <si>
    <t>10. Does not include other SAPS in our network area.</t>
  </si>
  <si>
    <r>
      <t>Microgrids owned by Ausgrid</t>
    </r>
    <r>
      <rPr>
        <b/>
        <vertAlign val="superscript"/>
        <sz val="12"/>
        <rFont val="Arial"/>
        <family val="2"/>
      </rPr>
      <t>11</t>
    </r>
    <r>
      <rPr>
        <b/>
        <sz val="12"/>
        <rFont val="Arial"/>
        <family val="2"/>
      </rPr>
      <t xml:space="preserve"> </t>
    </r>
  </si>
  <si>
    <t>11. Does not include other Microgrids in our network area.</t>
  </si>
  <si>
    <t>1. Annual customer numbers are averages of customer numbers at the start and the end of the year.
2. Average time that a customer is without electricity in minutes.
3. Average number of service interruptions to each customer.
4. Based on 5,000 kWh per annum on a flat tariff structure based on a 365 day year. Excludes metering charges and controlled load usage. Excludes GST. Includes Ausgrid distribution charges, transmission charges and NSW Government Climate Change Fund costs.
5. Source of FY25 and FY24 data: https://explore.openelectricity.org.au/energy/nem/?range=all&amp;interval=fin-year&amp;view=discrete-time&amp;group=Detailed. The source for data prior to FY23 was the Clean Energy Council's Clean Energy Australia report.</t>
  </si>
  <si>
    <t xml:space="preserve">This ESG Data Book provides information on our performance across a wide range of sustainability-related areas for the financial year ending 30 June 2025. The data covers Ausgrid, PLUS ES and the Ausgrid Group (combining Ausgrid and PLUS ES). Where possible, historical data is included through to FY17 (change in ownership date for Ausgrid) and FY18 for PLUS ES. 
Explanatory notes have been included as relevant to specific data points throughout. 
This ESG Data Book is intended to be read in conjunction with the Ausgrid Group FY25 Business and Sustainability Review. </t>
  </si>
  <si>
    <r>
      <t xml:space="preserve">
1. Data includes Ausgrid and PLUS ES employees and contractors. 
2. </t>
    </r>
    <r>
      <rPr>
        <sz val="9.5"/>
        <rFont val="Arial"/>
        <family val="2"/>
      </rPr>
      <t>TRIFR and LTIFR - Some previously reported results have been restated, mainly due to changes in injury classifications after the EOFY reported result. FY17 is employee only. Added separate line for contractor recordable injuries to align with employees, users and community.</t>
    </r>
  </si>
  <si>
    <t>3. Recordable Injuries and Lost Time Injuries - Reconciled and remapped to employee or contractor back to FY18.
4. FY24 audit results restated from 1 to 2 following reconciliation from internal audit.
5. FY25 AEDs owned is an estimate based on the number of pooled vehicles and buildings with an AED installed.
6. FY24 vaccination results restated from 696 to 711 due to reconciliation of attendees.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</si>
</sst>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_(* #,##0.00_);_(* \(#,##0.00\);_(* &quot;-&quot;??_);_(@_)"/>
    <numFmt numFmtId="165" formatCode="#,##0.0"/>
    <numFmt numFmtId="166" formatCode="0.0%"/>
    <numFmt numFmtId="167" formatCode="#,##0_ ;[Red]\-#,##0\ "/>
    <numFmt numFmtId="168" formatCode="0.0"/>
    <numFmt numFmtId="169" formatCode="_-* #,##0_-;\-* #,##0_-;_-* &quot;-&quot;??_-;_-@_-"/>
    <numFmt numFmtId="170" formatCode="#,##0_ ;\-#,##0\ "/>
    <numFmt numFmtId="171" formatCode="0_ ;\-0\ "/>
    <numFmt numFmtId="172" formatCode="_(* #,##0_);_(* \(#,##0\);_(* &quot;-&quot;??_);_(@_)"/>
    <numFmt numFmtId="173" formatCode="0.000000"/>
    <numFmt numFmtId="174" formatCode="#,##0.0_ ;\-#,##0.0\ "/>
    <numFmt numFmtId="175" formatCode="#,##0.00_ ;\-#,##0.00\ "/>
    <numFmt numFmtId="176" formatCode="0.000%"/>
    <numFmt numFmtId="177" formatCode="0.0000%"/>
  </numFmts>
  <fonts count="85" x14ac:knownFonts="1">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rgb="FF000000"/>
      <name val="Calibri"/>
      <family val="2"/>
    </font>
    <font>
      <sz val="12"/>
      <color theme="1"/>
      <name val="Arial"/>
      <family val="2"/>
    </font>
    <font>
      <b/>
      <sz val="24"/>
      <color theme="0"/>
      <name val="Arial"/>
      <family val="2"/>
    </font>
    <font>
      <sz val="12"/>
      <color theme="0"/>
      <name val="Arial"/>
      <family val="2"/>
    </font>
    <font>
      <b/>
      <sz val="18"/>
      <color theme="0"/>
      <name val="Arial"/>
      <family val="2"/>
    </font>
    <font>
      <b/>
      <sz val="12"/>
      <color theme="0"/>
      <name val="Arial"/>
      <family val="2"/>
    </font>
    <font>
      <b/>
      <sz val="12"/>
      <name val="Arial"/>
      <family val="2"/>
    </font>
    <font>
      <sz val="12"/>
      <name val="Arial"/>
      <family val="2"/>
    </font>
    <font>
      <b/>
      <sz val="12"/>
      <color rgb="FFFF0000"/>
      <name val="Arial"/>
      <family val="2"/>
    </font>
    <font>
      <b/>
      <sz val="12"/>
      <color theme="1"/>
      <name val="Arial"/>
      <family val="2"/>
    </font>
    <font>
      <sz val="12"/>
      <color rgb="FFFF0000"/>
      <name val="Arial"/>
      <family val="2"/>
    </font>
    <font>
      <b/>
      <sz val="12"/>
      <color rgb="FF000000"/>
      <name val="Arial"/>
      <family val="2"/>
    </font>
    <font>
      <sz val="11"/>
      <color theme="1"/>
      <name val="Arial"/>
      <family val="2"/>
    </font>
    <font>
      <sz val="8"/>
      <color theme="1"/>
      <name val="Arial"/>
      <family val="2"/>
    </font>
    <font>
      <b/>
      <sz val="11"/>
      <color theme="1"/>
      <name val="Arial"/>
      <family val="2"/>
    </font>
    <font>
      <sz val="12"/>
      <color rgb="FF000000"/>
      <name val="Arial"/>
      <family val="2"/>
    </font>
    <font>
      <sz val="11"/>
      <name val="Arial"/>
      <family val="2"/>
    </font>
    <font>
      <b/>
      <i/>
      <sz val="12"/>
      <name val="Arial"/>
      <family val="2"/>
    </font>
    <font>
      <b/>
      <sz val="11"/>
      <color theme="0"/>
      <name val="Arial"/>
      <family val="2"/>
    </font>
    <font>
      <sz val="11"/>
      <color rgb="FF000000"/>
      <name val="Arial"/>
      <family val="2"/>
    </font>
    <font>
      <sz val="11"/>
      <color rgb="FFFF0000"/>
      <name val="Arial"/>
      <family val="2"/>
    </font>
    <font>
      <b/>
      <sz val="11"/>
      <name val="Arial"/>
      <family val="2"/>
    </font>
    <font>
      <b/>
      <sz val="24"/>
      <color theme="1"/>
      <name val="Arial"/>
      <family val="2"/>
    </font>
    <font>
      <b/>
      <sz val="11"/>
      <color rgb="FFFF0000"/>
      <name val="Arial"/>
      <family val="2"/>
    </font>
    <font>
      <i/>
      <sz val="8"/>
      <name val="Arial"/>
      <family val="2"/>
    </font>
    <font>
      <b/>
      <i/>
      <sz val="9"/>
      <color rgb="FFFF0000"/>
      <name val="Arial"/>
      <family val="2"/>
    </font>
    <font>
      <sz val="9"/>
      <color theme="1"/>
      <name val="Arial"/>
      <family val="2"/>
    </font>
    <font>
      <sz val="12"/>
      <color rgb="FF00B0F0"/>
      <name val="Arial"/>
      <family val="2"/>
    </font>
    <font>
      <i/>
      <sz val="12"/>
      <color rgb="FFFF0000"/>
      <name val="Arial"/>
      <family val="2"/>
    </font>
    <font>
      <sz val="12"/>
      <color rgb="FF444444"/>
      <name val="Arial"/>
      <family val="2"/>
    </font>
    <font>
      <b/>
      <i/>
      <sz val="9"/>
      <color theme="1"/>
      <name val="Arial"/>
      <family val="2"/>
    </font>
    <font>
      <b/>
      <sz val="24"/>
      <name val="Arial"/>
      <family val="2"/>
    </font>
    <font>
      <b/>
      <sz val="16"/>
      <color theme="1"/>
      <name val="Arial"/>
      <family val="2"/>
    </font>
    <font>
      <vertAlign val="superscript"/>
      <sz val="12"/>
      <name val="Arial"/>
      <family val="2"/>
    </font>
    <font>
      <b/>
      <sz val="11"/>
      <color rgb="FF000000"/>
      <name val="Arial"/>
      <family val="2"/>
    </font>
    <font>
      <sz val="8"/>
      <name val="Arial"/>
      <family val="2"/>
    </font>
    <font>
      <b/>
      <sz val="16"/>
      <color theme="0"/>
      <name val="Arial"/>
      <family val="2"/>
    </font>
    <font>
      <sz val="12"/>
      <color rgb="FF7030A0"/>
      <name val="Arial"/>
      <family val="2"/>
    </font>
    <font>
      <sz val="11"/>
      <color rgb="FF7030A0"/>
      <name val="Arial"/>
      <family val="2"/>
    </font>
    <font>
      <sz val="11"/>
      <color theme="0"/>
      <name val="Arial"/>
      <family val="2"/>
    </font>
    <font>
      <b/>
      <sz val="11"/>
      <color theme="4" tint="-0.499984740745262"/>
      <name val="Arial"/>
      <family val="2"/>
    </font>
    <font>
      <b/>
      <sz val="11"/>
      <color theme="8" tint="-0.499984740745262"/>
      <name val="Arial"/>
      <family val="2"/>
    </font>
    <font>
      <b/>
      <sz val="18"/>
      <color theme="8" tint="-0.499984740745262"/>
      <name val="Arial"/>
      <family val="2"/>
    </font>
    <font>
      <b/>
      <vertAlign val="superscript"/>
      <sz val="18"/>
      <color theme="0"/>
      <name val="Arial"/>
      <family val="2"/>
    </font>
    <font>
      <b/>
      <vertAlign val="superscript"/>
      <sz val="12"/>
      <name val="Arial"/>
      <family val="2"/>
    </font>
    <font>
      <vertAlign val="superscript"/>
      <sz val="12"/>
      <color theme="1"/>
      <name val="Arial"/>
      <family val="2"/>
    </font>
    <font>
      <sz val="9.5"/>
      <name val="Arial"/>
      <family val="2"/>
    </font>
    <font>
      <sz val="9.5"/>
      <color rgb="FF000000"/>
      <name val="Arial"/>
      <family val="2"/>
    </font>
    <font>
      <sz val="9.5"/>
      <color theme="1"/>
      <name val="Arial"/>
      <family val="2"/>
    </font>
    <font>
      <b/>
      <vertAlign val="superscript"/>
      <sz val="12"/>
      <color theme="1"/>
      <name val="Arial"/>
      <family val="2"/>
    </font>
    <font>
      <sz val="14"/>
      <name val="Arial"/>
      <family val="2"/>
    </font>
    <font>
      <b/>
      <sz val="14"/>
      <name val="Arial"/>
      <family val="2"/>
    </font>
    <font>
      <sz val="14"/>
      <color theme="1"/>
      <name val="Arial"/>
      <family val="2"/>
    </font>
    <font>
      <b/>
      <sz val="14"/>
      <color theme="0"/>
      <name val="Arial"/>
      <family val="2"/>
    </font>
    <font>
      <sz val="9.5"/>
      <color rgb="FFFF0000"/>
      <name val="Arial"/>
      <family val="2"/>
    </font>
    <font>
      <i/>
      <sz val="12"/>
      <name val="Arial"/>
      <family val="2"/>
    </font>
    <font>
      <b/>
      <sz val="9.5"/>
      <color theme="1"/>
      <name val="Arial"/>
      <family val="2"/>
    </font>
    <font>
      <i/>
      <sz val="9"/>
      <color theme="1"/>
      <name val="Arial"/>
      <family val="2"/>
    </font>
    <font>
      <i/>
      <sz val="12"/>
      <color theme="1"/>
      <name val="Arial"/>
      <family val="2"/>
    </font>
    <font>
      <sz val="12"/>
      <color rgb="FFA2A2A2"/>
      <name val="Arial"/>
      <family val="2"/>
    </font>
    <font>
      <b/>
      <sz val="18"/>
      <color rgb="FFFFFFFF"/>
      <name val="Arial"/>
      <family val="2"/>
    </font>
    <font>
      <sz val="10"/>
      <color theme="1"/>
      <name val="Arial"/>
      <family val="2"/>
    </font>
    <font>
      <sz val="12"/>
      <color theme="1"/>
      <name val="Arial"/>
      <family val="2"/>
    </font>
    <font>
      <u/>
      <sz val="11"/>
      <color theme="10"/>
      <name val="Calibri"/>
      <family val="2"/>
      <scheme val="minor"/>
    </font>
    <font>
      <b/>
      <u/>
      <sz val="12"/>
      <color theme="10"/>
      <name val="Arial"/>
      <family val="2"/>
    </font>
    <font>
      <sz val="10"/>
      <name val="Arial"/>
      <family val="2"/>
    </font>
    <font>
      <sz val="10"/>
      <color rgb="FF000000"/>
      <name val="Arial"/>
      <family val="2"/>
    </font>
    <font>
      <b/>
      <vertAlign val="subscript"/>
      <sz val="10"/>
      <name val="Calibri"/>
      <family val="2"/>
      <scheme val="minor"/>
    </font>
    <font>
      <sz val="11"/>
      <color theme="1"/>
      <name val="Arial"/>
      <family val="2"/>
    </font>
    <font>
      <sz val="11"/>
      <name val="Calibri"/>
      <family val="2"/>
      <scheme val="minor"/>
    </font>
    <font>
      <b/>
      <vertAlign val="superscript"/>
      <sz val="12"/>
      <color rgb="FF000000"/>
      <name val="Arial"/>
      <family val="2"/>
    </font>
    <font>
      <b/>
      <sz val="9.5"/>
      <name val="Arial"/>
      <family val="2"/>
    </font>
    <font>
      <sz val="24"/>
      <color theme="0"/>
      <name val="Arial"/>
      <family val="2"/>
    </font>
    <font>
      <vertAlign val="superscript"/>
      <sz val="12"/>
      <color rgb="FF000000"/>
      <name val="Arial"/>
      <family val="2"/>
    </font>
    <font>
      <sz val="12"/>
      <name val="Arial"/>
      <family val="2"/>
    </font>
    <font>
      <b/>
      <vertAlign val="superscript"/>
      <sz val="24"/>
      <color theme="0"/>
      <name val="Arial"/>
      <family val="2"/>
    </font>
    <font>
      <sz val="12"/>
      <color theme="1"/>
      <name val="Arial"/>
      <family val="2"/>
    </font>
    <font>
      <b/>
      <sz val="12"/>
      <color rgb="FF7030A0"/>
      <name val="Arial"/>
      <family val="2"/>
    </font>
    <font>
      <b/>
      <sz val="11"/>
      <color rgb="FF7030A0"/>
      <name val="Arial"/>
      <family val="2"/>
    </font>
    <font>
      <b/>
      <sz val="8"/>
      <name val="Arial"/>
      <family val="2"/>
    </font>
    <font>
      <vertAlign val="superscript"/>
      <sz val="11"/>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rgb="FFFFFFFF"/>
        <bgColor indexed="64"/>
      </patternFill>
    </fill>
    <fill>
      <patternFill patternType="solid">
        <fgColor rgb="FFFFFF00"/>
        <bgColor indexed="64"/>
      </patternFill>
    </fill>
    <fill>
      <patternFill patternType="solid">
        <fgColor theme="8" tint="-0.499984740745262"/>
        <bgColor indexed="64"/>
      </patternFill>
    </fill>
    <fill>
      <patternFill patternType="solid">
        <fgColor theme="8" tint="-0.499984740745262"/>
        <bgColor rgb="FF000000"/>
      </patternFill>
    </fill>
    <fill>
      <patternFill patternType="solid">
        <fgColor rgb="FFE7F9FF"/>
        <bgColor indexed="64"/>
      </patternFill>
    </fill>
    <fill>
      <patternFill patternType="solid">
        <fgColor rgb="FFE7F9FF"/>
        <bgColor rgb="FF000000"/>
      </patternFill>
    </fill>
    <fill>
      <patternFill patternType="solid">
        <fgColor theme="0" tint="-4.9989318521683403E-2"/>
        <bgColor indexed="64"/>
      </patternFill>
    </fill>
    <fill>
      <patternFill patternType="solid">
        <fgColor rgb="FFF2F2F2"/>
        <bgColor indexed="64"/>
      </patternFill>
    </fill>
    <fill>
      <patternFill patternType="solid">
        <fgColor rgb="FF203764"/>
        <bgColor indexed="64"/>
      </patternFill>
    </fill>
    <fill>
      <patternFill patternType="solid">
        <fgColor theme="2"/>
        <bgColor rgb="FF000000"/>
      </patternFill>
    </fill>
    <fill>
      <patternFill patternType="solid">
        <fgColor theme="0" tint="-0.14999847407452621"/>
        <bgColor indexed="64"/>
      </patternFill>
    </fill>
  </fills>
  <borders count="13">
    <border>
      <left/>
      <right/>
      <top/>
      <bottom/>
      <diagonal/>
    </border>
    <border>
      <left/>
      <right/>
      <top style="thin">
        <color theme="3" tint="-0.249977111117893"/>
      </top>
      <bottom/>
      <diagonal/>
    </border>
    <border>
      <left/>
      <right/>
      <top style="thin">
        <color theme="0" tint="-4.9989318521683403E-2"/>
      </top>
      <bottom style="thin">
        <color theme="0" tint="-4.9989318521683403E-2"/>
      </bottom>
      <diagonal/>
    </border>
    <border>
      <left/>
      <right/>
      <top style="thin">
        <color theme="0" tint="-4.9989318521683403E-2"/>
      </top>
      <bottom/>
      <diagonal/>
    </border>
    <border>
      <left/>
      <right/>
      <top/>
      <bottom style="thin">
        <color theme="0" tint="-4.9989318521683403E-2"/>
      </bottom>
      <diagonal/>
    </border>
    <border>
      <left/>
      <right/>
      <top/>
      <bottom style="thin">
        <color theme="0"/>
      </bottom>
      <diagonal/>
    </border>
    <border>
      <left/>
      <right/>
      <top style="thin">
        <color theme="0" tint="-4.9989318521683403E-2"/>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164" fontId="2" fillId="0" borderId="0" applyFont="0" applyFill="0" applyBorder="0" applyAlignment="0" applyProtection="0"/>
    <xf numFmtId="0" fontId="4"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7" fillId="0" borderId="0" applyNumberFormat="0" applyFill="0" applyBorder="0" applyAlignment="0" applyProtection="0"/>
    <xf numFmtId="0" fontId="69" fillId="0" borderId="0"/>
    <xf numFmtId="44" fontId="1" fillId="0" borderId="0" applyFont="0" applyFill="0" applyBorder="0" applyAlignment="0" applyProtection="0"/>
  </cellStyleXfs>
  <cellXfs count="1026">
    <xf numFmtId="0" fontId="0" fillId="0" borderId="0" xfId="0"/>
    <xf numFmtId="0" fontId="0" fillId="2" borderId="0" xfId="0" applyFill="1"/>
    <xf numFmtId="0" fontId="0" fillId="0" borderId="0" xfId="0" applyAlignment="1">
      <alignment vertical="top"/>
    </xf>
    <xf numFmtId="0" fontId="5" fillId="2" borderId="0" xfId="0" applyFont="1" applyFill="1" applyAlignment="1">
      <alignment horizontal="left" vertical="center" wrapText="1"/>
    </xf>
    <xf numFmtId="0" fontId="7" fillId="7" borderId="0" xfId="0" applyFont="1" applyFill="1" applyAlignment="1">
      <alignment horizontal="left" vertical="top"/>
    </xf>
    <xf numFmtId="0" fontId="7" fillId="7" borderId="0" xfId="0" applyFont="1" applyFill="1"/>
    <xf numFmtId="0" fontId="8" fillId="7" borderId="0" xfId="0" applyFont="1" applyFill="1" applyAlignment="1">
      <alignment horizontal="left" vertical="center"/>
    </xf>
    <xf numFmtId="0" fontId="9" fillId="7" borderId="0" xfId="0" applyFont="1" applyFill="1" applyAlignment="1">
      <alignment horizontal="left" vertical="center"/>
    </xf>
    <xf numFmtId="0" fontId="9" fillId="7" borderId="0" xfId="0" applyFont="1" applyFill="1" applyAlignment="1">
      <alignment horizontal="center" vertical="center"/>
    </xf>
    <xf numFmtId="0" fontId="9" fillId="7" borderId="0" xfId="0" applyFont="1" applyFill="1" applyAlignment="1">
      <alignment horizontal="right" vertical="center"/>
    </xf>
    <xf numFmtId="0" fontId="5" fillId="2" borderId="0" xfId="0" applyFont="1" applyFill="1" applyAlignment="1">
      <alignment horizontal="left"/>
    </xf>
    <xf numFmtId="166" fontId="5" fillId="2" borderId="0" xfId="0" quotePrefix="1" applyNumberFormat="1" applyFont="1" applyFill="1" applyAlignment="1">
      <alignment horizontal="right" vertical="center"/>
    </xf>
    <xf numFmtId="0" fontId="5" fillId="2" borderId="0" xfId="0" applyFont="1" applyFill="1" applyAlignment="1">
      <alignment horizontal="right" vertical="center"/>
    </xf>
    <xf numFmtId="0" fontId="11" fillId="2" borderId="0" xfId="0" applyFont="1" applyFill="1"/>
    <xf numFmtId="0" fontId="14" fillId="2" borderId="0" xfId="0" applyFont="1" applyFill="1"/>
    <xf numFmtId="0" fontId="5" fillId="2" borderId="0" xfId="0" applyFont="1" applyFill="1"/>
    <xf numFmtId="0" fontId="5" fillId="2" borderId="0" xfId="0" applyFont="1" applyFill="1" applyAlignment="1">
      <alignment horizontal="right"/>
    </xf>
    <xf numFmtId="0" fontId="11" fillId="2" borderId="0" xfId="0" applyFont="1" applyFill="1" applyAlignment="1">
      <alignment horizontal="left"/>
    </xf>
    <xf numFmtId="0" fontId="11" fillId="3" borderId="0" xfId="0" applyFont="1" applyFill="1" applyAlignment="1">
      <alignment horizontal="left" vertical="center"/>
    </xf>
    <xf numFmtId="0" fontId="11" fillId="2" borderId="0" xfId="0" applyFont="1" applyFill="1" applyAlignment="1">
      <alignment horizontal="left" vertical="center"/>
    </xf>
    <xf numFmtId="0" fontId="11" fillId="2" borderId="0" xfId="0" applyFont="1" applyFill="1" applyAlignment="1">
      <alignment horizontal="right" vertical="center"/>
    </xf>
    <xf numFmtId="0" fontId="11" fillId="4" borderId="0" xfId="0" applyFont="1" applyFill="1" applyAlignment="1">
      <alignment horizontal="right" vertical="center"/>
    </xf>
    <xf numFmtId="3" fontId="11" fillId="2" borderId="0" xfId="0" quotePrefix="1" applyNumberFormat="1" applyFont="1" applyFill="1" applyAlignment="1">
      <alignment horizontal="right" wrapText="1"/>
    </xf>
    <xf numFmtId="0" fontId="5" fillId="2" borderId="0" xfId="0" applyFont="1" applyFill="1" applyAlignment="1">
      <alignment horizontal="center"/>
    </xf>
    <xf numFmtId="0" fontId="13" fillId="2" borderId="0" xfId="0" applyFont="1" applyFill="1"/>
    <xf numFmtId="0" fontId="16" fillId="2" borderId="0" xfId="0" applyFont="1" applyFill="1" applyAlignment="1">
      <alignment horizontal="left" vertical="center"/>
    </xf>
    <xf numFmtId="0" fontId="17" fillId="0" borderId="0" xfId="0" applyFont="1"/>
    <xf numFmtId="3" fontId="5" fillId="0" borderId="0" xfId="0" applyNumberFormat="1" applyFont="1" applyAlignment="1">
      <alignment horizontal="right" vertical="center"/>
    </xf>
    <xf numFmtId="0" fontId="16" fillId="2" borderId="0" xfId="0" applyFont="1" applyFill="1"/>
    <xf numFmtId="0" fontId="5" fillId="0" borderId="0" xfId="0" applyFont="1" applyAlignment="1">
      <alignment horizontal="right" vertical="center"/>
    </xf>
    <xf numFmtId="0" fontId="11" fillId="2" borderId="0" xfId="0" applyFont="1" applyFill="1" applyAlignment="1">
      <alignment horizontal="right"/>
    </xf>
    <xf numFmtId="0" fontId="20" fillId="2" borderId="0" xfId="0" applyFont="1" applyFill="1" applyAlignment="1">
      <alignment horizontal="left"/>
    </xf>
    <xf numFmtId="0" fontId="5" fillId="0" borderId="0" xfId="0" applyFont="1" applyAlignment="1">
      <alignment horizontal="left"/>
    </xf>
    <xf numFmtId="9" fontId="11" fillId="4" borderId="0" xfId="0" applyNumberFormat="1" applyFont="1" applyFill="1" applyAlignment="1">
      <alignment horizontal="right" vertical="center"/>
    </xf>
    <xf numFmtId="9" fontId="5" fillId="0" borderId="0" xfId="0" applyNumberFormat="1" applyFont="1" applyAlignment="1">
      <alignment horizontal="right" vertical="center"/>
    </xf>
    <xf numFmtId="0" fontId="18" fillId="2" borderId="0" xfId="0" applyFont="1" applyFill="1"/>
    <xf numFmtId="0" fontId="13" fillId="0" borderId="0" xfId="0" applyFont="1" applyAlignment="1">
      <alignment horizontal="right" vertical="center"/>
    </xf>
    <xf numFmtId="0" fontId="16" fillId="0" borderId="0" xfId="0" applyFont="1"/>
    <xf numFmtId="1" fontId="5" fillId="2" borderId="0" xfId="0" applyNumberFormat="1" applyFont="1" applyFill="1" applyAlignment="1">
      <alignment horizontal="right" vertical="center"/>
    </xf>
    <xf numFmtId="0" fontId="16" fillId="2" borderId="0" xfId="0" applyFont="1" applyFill="1" applyAlignment="1">
      <alignment horizontal="left" vertical="top" wrapText="1"/>
    </xf>
    <xf numFmtId="0" fontId="5" fillId="0" borderId="0" xfId="0" applyFont="1"/>
    <xf numFmtId="0" fontId="5" fillId="0" borderId="0" xfId="0" applyFont="1" applyAlignment="1">
      <alignment horizontal="right"/>
    </xf>
    <xf numFmtId="0" fontId="23" fillId="2" borderId="0" xfId="0" applyFont="1" applyFill="1" applyAlignment="1">
      <alignment horizontal="left" vertical="top" wrapText="1"/>
    </xf>
    <xf numFmtId="0" fontId="13" fillId="2" borderId="0" xfId="0" applyFont="1" applyFill="1" applyAlignment="1">
      <alignment horizontal="center" vertical="center"/>
    </xf>
    <xf numFmtId="0" fontId="5" fillId="2" borderId="0" xfId="0" applyFont="1" applyFill="1" applyAlignment="1">
      <alignment horizontal="center" vertical="center"/>
    </xf>
    <xf numFmtId="0" fontId="7" fillId="7" borderId="0" xfId="0" applyFont="1" applyFill="1" applyAlignment="1">
      <alignment vertical="center"/>
    </xf>
    <xf numFmtId="0" fontId="20" fillId="2" borderId="0" xfId="0" applyFont="1" applyFill="1"/>
    <xf numFmtId="0" fontId="24" fillId="2" borderId="0" xfId="0" applyFont="1" applyFill="1"/>
    <xf numFmtId="0" fontId="16" fillId="0" borderId="0" xfId="0" applyFont="1" applyAlignment="1">
      <alignment horizontal="center" vertical="center"/>
    </xf>
    <xf numFmtId="49" fontId="16" fillId="0" borderId="0" xfId="0" applyNumberFormat="1" applyFont="1" applyAlignment="1">
      <alignment horizontal="center" vertical="center" wrapText="1"/>
    </xf>
    <xf numFmtId="0" fontId="16" fillId="2" borderId="0" xfId="0" applyFont="1" applyFill="1" applyAlignment="1">
      <alignment horizontal="center" vertical="center"/>
    </xf>
    <xf numFmtId="0" fontId="26" fillId="2" borderId="0" xfId="0" applyFont="1" applyFill="1" applyAlignment="1">
      <alignment vertical="center"/>
    </xf>
    <xf numFmtId="0" fontId="22" fillId="2" borderId="0" xfId="0" applyFont="1" applyFill="1" applyAlignment="1">
      <alignment vertical="center"/>
    </xf>
    <xf numFmtId="0" fontId="25" fillId="2" borderId="0" xfId="0" applyFont="1" applyFill="1"/>
    <xf numFmtId="49" fontId="16" fillId="0" borderId="0" xfId="0" applyNumberFormat="1" applyFont="1" applyAlignment="1">
      <alignment horizontal="left" vertical="top" wrapText="1"/>
    </xf>
    <xf numFmtId="0" fontId="11" fillId="0" borderId="0" xfId="0" applyFont="1" applyAlignment="1">
      <alignment horizontal="right" vertical="center"/>
    </xf>
    <xf numFmtId="0" fontId="28" fillId="0" borderId="0" xfId="0" applyFont="1"/>
    <xf numFmtId="0" fontId="29" fillId="0" borderId="0" xfId="0" applyFont="1"/>
    <xf numFmtId="0" fontId="18" fillId="2" borderId="0" xfId="0" applyFont="1" applyFill="1" applyAlignment="1">
      <alignment horizontal="center" vertical="center"/>
    </xf>
    <xf numFmtId="3" fontId="16" fillId="2" borderId="0" xfId="0" applyNumberFormat="1" applyFont="1" applyFill="1" applyAlignment="1">
      <alignment horizontal="center" vertical="center"/>
    </xf>
    <xf numFmtId="9" fontId="16" fillId="2" borderId="0" xfId="0" applyNumberFormat="1" applyFont="1" applyFill="1" applyAlignment="1">
      <alignment horizontal="center" vertical="center"/>
    </xf>
    <xf numFmtId="166" fontId="16" fillId="2" borderId="0" xfId="0" applyNumberFormat="1" applyFont="1" applyFill="1" applyAlignment="1">
      <alignment horizontal="center" vertical="center"/>
    </xf>
    <xf numFmtId="166" fontId="16" fillId="2" borderId="0" xfId="0" quotePrefix="1" applyNumberFormat="1" applyFont="1" applyFill="1" applyAlignment="1">
      <alignment horizontal="center" vertical="center"/>
    </xf>
    <xf numFmtId="166" fontId="18" fillId="2" borderId="0" xfId="0" applyNumberFormat="1" applyFont="1" applyFill="1" applyAlignment="1">
      <alignment horizontal="center" vertical="center"/>
    </xf>
    <xf numFmtId="3" fontId="18" fillId="2" borderId="0" xfId="0" applyNumberFormat="1" applyFont="1" applyFill="1" applyAlignment="1">
      <alignment horizontal="center" vertical="center"/>
    </xf>
    <xf numFmtId="3" fontId="16" fillId="0" borderId="0" xfId="0" applyNumberFormat="1" applyFont="1" applyAlignment="1">
      <alignment horizontal="center" vertical="center"/>
    </xf>
    <xf numFmtId="0" fontId="17" fillId="2" borderId="0" xfId="0" applyFont="1" applyFill="1"/>
    <xf numFmtId="0" fontId="19" fillId="2" borderId="0" xfId="0" applyFont="1" applyFill="1" applyAlignment="1">
      <alignment horizontal="right" vertical="center"/>
    </xf>
    <xf numFmtId="0" fontId="5" fillId="0" borderId="0" xfId="0" applyFont="1" applyAlignment="1">
      <alignment horizontal="center" vertical="center"/>
    </xf>
    <xf numFmtId="0" fontId="20" fillId="3" borderId="0" xfId="0" applyFont="1" applyFill="1" applyAlignment="1">
      <alignment horizontal="center" vertical="center"/>
    </xf>
    <xf numFmtId="0" fontId="35" fillId="3" borderId="0" xfId="0" applyFont="1" applyFill="1" applyAlignment="1">
      <alignment vertical="center"/>
    </xf>
    <xf numFmtId="0" fontId="11" fillId="3" borderId="0" xfId="0" applyFont="1" applyFill="1" applyAlignment="1">
      <alignment horizontal="center" vertical="center"/>
    </xf>
    <xf numFmtId="0" fontId="11" fillId="0" borderId="0" xfId="0" applyFont="1" applyAlignment="1">
      <alignment horizontal="center" vertical="center"/>
    </xf>
    <xf numFmtId="0" fontId="5" fillId="2" borderId="0" xfId="0" quotePrefix="1" applyFont="1" applyFill="1" applyAlignment="1">
      <alignment horizontal="right" vertical="center"/>
    </xf>
    <xf numFmtId="0" fontId="11" fillId="0" borderId="0" xfId="0" applyFont="1"/>
    <xf numFmtId="168" fontId="5" fillId="2" borderId="0" xfId="0" applyNumberFormat="1" applyFont="1" applyFill="1" applyAlignment="1">
      <alignment horizontal="right" vertical="center"/>
    </xf>
    <xf numFmtId="168" fontId="5" fillId="2" borderId="0" xfId="0" quotePrefix="1" applyNumberFormat="1" applyFont="1" applyFill="1" applyAlignment="1">
      <alignment horizontal="right" vertical="center"/>
    </xf>
    <xf numFmtId="0" fontId="35" fillId="2" borderId="0" xfId="0" applyFont="1" applyFill="1" applyAlignment="1">
      <alignment vertical="center"/>
    </xf>
    <xf numFmtId="0" fontId="11" fillId="2" borderId="0" xfId="0" applyFont="1" applyFill="1" applyAlignment="1">
      <alignment horizontal="center" vertical="center"/>
    </xf>
    <xf numFmtId="0" fontId="11" fillId="2" borderId="0" xfId="0" applyFont="1" applyFill="1" applyAlignment="1">
      <alignment horizontal="left" vertical="center" wrapText="1"/>
    </xf>
    <xf numFmtId="0" fontId="11" fillId="2" borderId="0" xfId="0" applyFont="1" applyFill="1" applyAlignment="1">
      <alignment horizontal="right" vertical="center" wrapText="1"/>
    </xf>
    <xf numFmtId="0" fontId="38" fillId="3" borderId="0" xfId="0" applyFont="1" applyFill="1" applyAlignment="1">
      <alignment horizontal="center" vertical="center"/>
    </xf>
    <xf numFmtId="0" fontId="38" fillId="4" borderId="0" xfId="0" applyFont="1" applyFill="1" applyAlignment="1">
      <alignment horizontal="center" vertical="center"/>
    </xf>
    <xf numFmtId="0" fontId="20" fillId="4" borderId="0" xfId="0" applyFont="1" applyFill="1" applyAlignment="1">
      <alignment horizontal="left"/>
    </xf>
    <xf numFmtId="0" fontId="11" fillId="4" borderId="0" xfId="0" applyFont="1" applyFill="1" applyAlignment="1">
      <alignment horizontal="right" vertical="center" wrapText="1"/>
    </xf>
    <xf numFmtId="2" fontId="11" fillId="0" borderId="0" xfId="0" applyNumberFormat="1" applyFont="1" applyAlignment="1">
      <alignment horizontal="right" vertical="center"/>
    </xf>
    <xf numFmtId="3" fontId="11" fillId="3" borderId="0" xfId="0" applyNumberFormat="1" applyFont="1" applyFill="1" applyAlignment="1">
      <alignment horizontal="right" vertical="center"/>
    </xf>
    <xf numFmtId="3" fontId="11" fillId="3" borderId="0" xfId="0" applyNumberFormat="1" applyFont="1" applyFill="1" applyAlignment="1">
      <alignment horizontal="right"/>
    </xf>
    <xf numFmtId="0" fontId="16" fillId="0" borderId="0" xfId="0" applyFont="1" applyAlignment="1">
      <alignment vertical="top"/>
    </xf>
    <xf numFmtId="170" fontId="11" fillId="2" borderId="0" xfId="4" applyNumberFormat="1" applyFont="1" applyFill="1" applyBorder="1" applyAlignment="1">
      <alignment horizontal="right" vertical="center"/>
    </xf>
    <xf numFmtId="2" fontId="11" fillId="2" borderId="0" xfId="0" applyNumberFormat="1" applyFont="1" applyFill="1" applyAlignment="1">
      <alignment horizontal="right" vertical="center"/>
    </xf>
    <xf numFmtId="0" fontId="10" fillId="3" borderId="0" xfId="0" applyFont="1" applyFill="1" applyAlignment="1">
      <alignment horizontal="right" vertical="center"/>
    </xf>
    <xf numFmtId="0" fontId="11" fillId="4" borderId="0" xfId="0" quotePrefix="1" applyFont="1" applyFill="1" applyAlignment="1">
      <alignment horizontal="right" vertical="center"/>
    </xf>
    <xf numFmtId="170" fontId="11" fillId="4" borderId="0" xfId="4" applyNumberFormat="1" applyFont="1" applyFill="1" applyBorder="1" applyAlignment="1">
      <alignment horizontal="right" vertical="center"/>
    </xf>
    <xf numFmtId="0" fontId="11" fillId="0" borderId="0" xfId="0" applyFont="1" applyAlignment="1">
      <alignment horizontal="left" vertical="center"/>
    </xf>
    <xf numFmtId="3" fontId="11" fillId="0" borderId="0" xfId="0" applyNumberFormat="1" applyFont="1" applyAlignment="1">
      <alignment horizontal="right"/>
    </xf>
    <xf numFmtId="3" fontId="20" fillId="3" borderId="0" xfId="0" applyNumberFormat="1" applyFont="1" applyFill="1" applyAlignment="1">
      <alignment horizontal="center" vertical="center"/>
    </xf>
    <xf numFmtId="0" fontId="24" fillId="4" borderId="0" xfId="0" applyFont="1" applyFill="1" applyAlignment="1">
      <alignment horizontal="center" vertical="center" wrapText="1"/>
    </xf>
    <xf numFmtId="0" fontId="11" fillId="3" borderId="0" xfId="0" applyFont="1" applyFill="1" applyAlignment="1">
      <alignment horizontal="left"/>
    </xf>
    <xf numFmtId="2" fontId="11" fillId="0" borderId="0" xfId="0" applyNumberFormat="1" applyFont="1" applyAlignment="1">
      <alignment horizontal="center" vertical="center"/>
    </xf>
    <xf numFmtId="0" fontId="11" fillId="4" borderId="0" xfId="0" applyFont="1" applyFill="1" applyAlignment="1">
      <alignment horizontal="center" vertical="center" wrapText="1"/>
    </xf>
    <xf numFmtId="3" fontId="11" fillId="3" borderId="0" xfId="0" applyNumberFormat="1" applyFont="1" applyFill="1" applyAlignment="1">
      <alignment horizontal="center" vertical="center"/>
    </xf>
    <xf numFmtId="0" fontId="20" fillId="4" borderId="0" xfId="0" applyFont="1" applyFill="1" applyAlignment="1">
      <alignment horizontal="center" vertical="center"/>
    </xf>
    <xf numFmtId="0" fontId="11" fillId="4" borderId="0" xfId="0" applyFont="1" applyFill="1" applyAlignment="1">
      <alignment horizontal="center" vertical="center"/>
    </xf>
    <xf numFmtId="170" fontId="11" fillId="2" borderId="0" xfId="0" applyNumberFormat="1" applyFont="1" applyFill="1" applyAlignment="1">
      <alignment horizontal="right" vertical="center"/>
    </xf>
    <xf numFmtId="170" fontId="11" fillId="4" borderId="0" xfId="0" applyNumberFormat="1" applyFont="1" applyFill="1" applyAlignment="1">
      <alignment horizontal="right" vertical="center"/>
    </xf>
    <xf numFmtId="170" fontId="20" fillId="4" borderId="0" xfId="0" applyNumberFormat="1" applyFont="1" applyFill="1" applyAlignment="1">
      <alignment horizontal="center" vertical="center"/>
    </xf>
    <xf numFmtId="0" fontId="11" fillId="3" borderId="0" xfId="0" applyFont="1" applyFill="1"/>
    <xf numFmtId="0" fontId="20" fillId="4" borderId="0" xfId="0" applyFont="1" applyFill="1" applyAlignment="1">
      <alignment horizontal="center" vertical="center" wrapText="1"/>
    </xf>
    <xf numFmtId="166" fontId="23" fillId="4" borderId="0" xfId="0" applyNumberFormat="1" applyFont="1" applyFill="1" applyAlignment="1">
      <alignment horizontal="center" vertical="center"/>
    </xf>
    <xf numFmtId="3" fontId="20" fillId="4" borderId="0" xfId="0" applyNumberFormat="1" applyFont="1" applyFill="1" applyAlignment="1">
      <alignment horizontal="center" vertical="center"/>
    </xf>
    <xf numFmtId="3" fontId="23" fillId="4" borderId="0" xfId="0" applyNumberFormat="1" applyFont="1" applyFill="1" applyAlignment="1">
      <alignment horizontal="center" vertical="center"/>
    </xf>
    <xf numFmtId="0" fontId="39" fillId="2" borderId="0" xfId="0" applyFont="1" applyFill="1"/>
    <xf numFmtId="0" fontId="20" fillId="2" borderId="0" xfId="0" applyFont="1" applyFill="1" applyAlignment="1">
      <alignment horizontal="center" vertical="center"/>
    </xf>
    <xf numFmtId="0" fontId="19" fillId="2" borderId="0" xfId="0" applyFont="1" applyFill="1" applyAlignment="1">
      <alignment horizontal="left"/>
    </xf>
    <xf numFmtId="166" fontId="11" fillId="2" borderId="0" xfId="0" applyNumberFormat="1" applyFont="1" applyFill="1" applyAlignment="1">
      <alignment horizontal="right" vertical="center" wrapText="1"/>
    </xf>
    <xf numFmtId="0" fontId="20" fillId="2" borderId="0" xfId="0" applyFont="1" applyFill="1" applyAlignment="1">
      <alignment horizontal="center" vertical="center" wrapText="1"/>
    </xf>
    <xf numFmtId="10" fontId="11" fillId="2" borderId="0" xfId="0" applyNumberFormat="1" applyFont="1" applyFill="1" applyAlignment="1">
      <alignment horizontal="right" vertical="center"/>
    </xf>
    <xf numFmtId="9" fontId="11" fillId="4" borderId="0" xfId="6" applyFont="1" applyFill="1" applyAlignment="1">
      <alignment horizontal="right" vertical="center"/>
    </xf>
    <xf numFmtId="0" fontId="11" fillId="3" borderId="0" xfId="0" applyFont="1" applyFill="1" applyAlignment="1">
      <alignment horizontal="right" vertical="center"/>
    </xf>
    <xf numFmtId="0" fontId="24" fillId="3" borderId="0" xfId="0" applyFont="1" applyFill="1" applyAlignment="1">
      <alignment horizontal="left"/>
    </xf>
    <xf numFmtId="3" fontId="11" fillId="2" borderId="0" xfId="0" quotePrefix="1" applyNumberFormat="1" applyFont="1" applyFill="1" applyAlignment="1">
      <alignment horizontal="center" vertical="center" wrapText="1"/>
    </xf>
    <xf numFmtId="0" fontId="20" fillId="3" borderId="0" xfId="0" applyFont="1" applyFill="1" applyAlignment="1">
      <alignment horizontal="left"/>
    </xf>
    <xf numFmtId="0" fontId="11" fillId="3" borderId="0" xfId="0" applyFont="1" applyFill="1" applyAlignment="1">
      <alignment horizontal="right"/>
    </xf>
    <xf numFmtId="0" fontId="20" fillId="4" borderId="0" xfId="0" applyFont="1" applyFill="1" applyAlignment="1">
      <alignment horizontal="right"/>
    </xf>
    <xf numFmtId="171" fontId="20" fillId="4" borderId="0" xfId="0" applyNumberFormat="1" applyFont="1" applyFill="1" applyAlignment="1">
      <alignment horizontal="center" vertical="top"/>
    </xf>
    <xf numFmtId="0" fontId="20" fillId="4" borderId="0" xfId="0" applyFont="1" applyFill="1" applyAlignment="1">
      <alignment horizontal="right" wrapText="1"/>
    </xf>
    <xf numFmtId="171" fontId="20" fillId="4" borderId="0" xfId="0" applyNumberFormat="1" applyFont="1" applyFill="1" applyAlignment="1">
      <alignment horizontal="center" vertical="center"/>
    </xf>
    <xf numFmtId="0" fontId="16" fillId="2" borderId="0" xfId="0" applyFont="1" applyFill="1" applyAlignment="1">
      <alignment horizontal="left" vertical="top"/>
    </xf>
    <xf numFmtId="3" fontId="20" fillId="2" borderId="0" xfId="0" quotePrefix="1" applyNumberFormat="1" applyFont="1" applyFill="1" applyAlignment="1">
      <alignment horizontal="center" wrapText="1"/>
    </xf>
    <xf numFmtId="0" fontId="11" fillId="4" borderId="0" xfId="0" applyFont="1" applyFill="1" applyAlignment="1">
      <alignment horizontal="left" indent="1"/>
    </xf>
    <xf numFmtId="0" fontId="11" fillId="4" borderId="0" xfId="0" applyFont="1" applyFill="1" applyAlignment="1">
      <alignment horizontal="left" vertical="center"/>
    </xf>
    <xf numFmtId="3" fontId="11" fillId="0" borderId="0" xfId="0" applyNumberFormat="1" applyFont="1" applyAlignment="1">
      <alignment horizontal="right" vertical="center"/>
    </xf>
    <xf numFmtId="0" fontId="40" fillId="7" borderId="0" xfId="0" applyFont="1" applyFill="1" applyAlignment="1">
      <alignment horizontal="left"/>
    </xf>
    <xf numFmtId="0" fontId="16" fillId="2" borderId="0" xfId="0" applyFont="1" applyFill="1" applyAlignment="1">
      <alignment vertical="top"/>
    </xf>
    <xf numFmtId="0" fontId="9" fillId="7" borderId="1" xfId="0" applyFont="1" applyFill="1" applyBorder="1" applyAlignment="1">
      <alignment horizontal="center" vertical="center"/>
    </xf>
    <xf numFmtId="0" fontId="9" fillId="7" borderId="1" xfId="0" applyFont="1" applyFill="1" applyBorder="1" applyAlignment="1">
      <alignment horizontal="right" vertical="center"/>
    </xf>
    <xf numFmtId="0" fontId="20" fillId="3" borderId="0" xfId="0" applyFont="1" applyFill="1" applyAlignment="1">
      <alignment horizontal="left" vertical="center"/>
    </xf>
    <xf numFmtId="0" fontId="42" fillId="3" borderId="0" xfId="0" applyFont="1" applyFill="1"/>
    <xf numFmtId="0" fontId="42" fillId="3" borderId="0" xfId="0" applyFont="1" applyFill="1" applyAlignment="1">
      <alignment horizontal="left" vertical="center"/>
    </xf>
    <xf numFmtId="173" fontId="41" fillId="4" borderId="0" xfId="4" applyNumberFormat="1" applyFont="1" applyFill="1" applyBorder="1" applyAlignment="1">
      <alignment horizontal="right" vertical="center"/>
    </xf>
    <xf numFmtId="3" fontId="11" fillId="2" borderId="0" xfId="0" applyNumberFormat="1" applyFont="1" applyFill="1" applyAlignment="1">
      <alignment horizontal="right" wrapText="1"/>
    </xf>
    <xf numFmtId="3" fontId="20" fillId="2" borderId="0" xfId="0" applyNumberFormat="1" applyFont="1" applyFill="1" applyAlignment="1">
      <alignment horizontal="center" wrapText="1"/>
    </xf>
    <xf numFmtId="0" fontId="14" fillId="0" borderId="0" xfId="0" applyFont="1" applyAlignment="1">
      <alignment horizontal="right" vertical="center"/>
    </xf>
    <xf numFmtId="0" fontId="23" fillId="3" borderId="0" xfId="0" applyFont="1" applyFill="1"/>
    <xf numFmtId="169" fontId="11" fillId="4" borderId="0" xfId="4" applyNumberFormat="1" applyFont="1" applyFill="1" applyBorder="1" applyAlignment="1">
      <alignment horizontal="right" vertical="center"/>
    </xf>
    <xf numFmtId="9" fontId="11" fillId="4" borderId="0" xfId="0" applyNumberFormat="1" applyFont="1" applyFill="1" applyAlignment="1">
      <alignment horizontal="right" vertical="center" wrapText="1"/>
    </xf>
    <xf numFmtId="9" fontId="20" fillId="3" borderId="0" xfId="0" applyNumberFormat="1" applyFont="1" applyFill="1" applyAlignment="1">
      <alignment horizontal="center" vertical="center" wrapText="1"/>
    </xf>
    <xf numFmtId="9" fontId="11" fillId="0" borderId="0" xfId="0" applyNumberFormat="1" applyFont="1" applyAlignment="1">
      <alignment horizontal="right" vertical="center" wrapText="1"/>
    </xf>
    <xf numFmtId="9" fontId="11" fillId="3" borderId="0" xfId="0" applyNumberFormat="1" applyFont="1" applyFill="1" applyAlignment="1">
      <alignment horizontal="right" vertical="center" wrapText="1"/>
    </xf>
    <xf numFmtId="0" fontId="39" fillId="3" borderId="0" xfId="0" applyFont="1" applyFill="1" applyAlignment="1">
      <alignment horizontal="center" vertical="center"/>
    </xf>
    <xf numFmtId="172" fontId="11" fillId="4" borderId="0" xfId="0" applyNumberFormat="1" applyFont="1" applyFill="1" applyAlignment="1">
      <alignment horizontal="right" vertical="center"/>
    </xf>
    <xf numFmtId="172" fontId="11" fillId="2" borderId="0" xfId="0" applyNumberFormat="1" applyFont="1" applyFill="1" applyAlignment="1">
      <alignment horizontal="right" vertical="center"/>
    </xf>
    <xf numFmtId="0" fontId="39" fillId="2" borderId="0" xfId="0" applyFont="1" applyFill="1" applyAlignment="1">
      <alignment horizontal="center" vertical="center"/>
    </xf>
    <xf numFmtId="172" fontId="9" fillId="7" borderId="0" xfId="0" applyNumberFormat="1" applyFont="1" applyFill="1" applyAlignment="1">
      <alignment horizontal="right" vertical="center"/>
    </xf>
    <xf numFmtId="0" fontId="39" fillId="3" borderId="0" xfId="0" applyFont="1" applyFill="1"/>
    <xf numFmtId="0" fontId="20" fillId="3" borderId="0" xfId="0" applyFont="1" applyFill="1"/>
    <xf numFmtId="0" fontId="20" fillId="0" borderId="0" xfId="0" applyFont="1"/>
    <xf numFmtId="0" fontId="9" fillId="7" borderId="1" xfId="0" applyFont="1" applyFill="1" applyBorder="1" applyAlignment="1">
      <alignment horizontal="left" vertical="center"/>
    </xf>
    <xf numFmtId="0" fontId="41" fillId="3" borderId="0" xfId="0" applyFont="1" applyFill="1" applyAlignment="1">
      <alignment horizontal="left" vertical="center"/>
    </xf>
    <xf numFmtId="0" fontId="43" fillId="0" borderId="0" xfId="0" applyFont="1"/>
    <xf numFmtId="0" fontId="34" fillId="0" borderId="0" xfId="0" applyFont="1" applyAlignment="1">
      <alignment horizontal="left" vertical="top"/>
    </xf>
    <xf numFmtId="0" fontId="5" fillId="2" borderId="0" xfId="0" applyFont="1" applyFill="1" applyAlignment="1">
      <alignment horizontal="center" vertical="center" wrapText="1"/>
    </xf>
    <xf numFmtId="0" fontId="16" fillId="2" borderId="0" xfId="0" applyFont="1" applyFill="1" applyAlignment="1">
      <alignment horizontal="center" vertical="center" wrapText="1"/>
    </xf>
    <xf numFmtId="0" fontId="9" fillId="7" borderId="0" xfId="0" applyFont="1" applyFill="1" applyAlignment="1">
      <alignment horizontal="left" vertical="center" wrapText="1"/>
    </xf>
    <xf numFmtId="0" fontId="5" fillId="2" borderId="0" xfId="0" applyFont="1" applyFill="1" applyAlignment="1">
      <alignment horizontal="right" vertical="center" wrapText="1"/>
    </xf>
    <xf numFmtId="0" fontId="5" fillId="0" borderId="0" xfId="0" applyFont="1" applyAlignment="1">
      <alignment horizontal="right" vertical="center" wrapText="1"/>
    </xf>
    <xf numFmtId="3" fontId="5" fillId="2" borderId="0" xfId="0" applyNumberFormat="1" applyFont="1" applyFill="1" applyAlignment="1">
      <alignment horizontal="right" vertical="center" wrapText="1"/>
    </xf>
    <xf numFmtId="3" fontId="16" fillId="2" borderId="0" xfId="0" applyNumberFormat="1" applyFont="1" applyFill="1" applyAlignment="1">
      <alignment horizontal="center" vertical="center" wrapText="1"/>
    </xf>
    <xf numFmtId="3" fontId="5" fillId="0" borderId="0" xfId="0" applyNumberFormat="1" applyFont="1" applyAlignment="1">
      <alignment horizontal="right" vertical="center" wrapText="1"/>
    </xf>
    <xf numFmtId="0" fontId="24" fillId="0" borderId="0" xfId="0" applyFont="1"/>
    <xf numFmtId="0" fontId="42" fillId="0" borderId="0" xfId="0" applyFont="1"/>
    <xf numFmtId="0" fontId="41" fillId="0" borderId="0" xfId="0" applyFont="1" applyAlignment="1">
      <alignment horizontal="right" vertical="center"/>
    </xf>
    <xf numFmtId="169" fontId="41" fillId="2" borderId="0" xfId="4" applyNumberFormat="1" applyFont="1" applyFill="1" applyAlignment="1">
      <alignment horizontal="center" vertical="center"/>
    </xf>
    <xf numFmtId="0" fontId="36" fillId="0" borderId="0" xfId="0" applyFont="1" applyAlignment="1">
      <alignment horizontal="left" vertical="center" wrapText="1"/>
    </xf>
    <xf numFmtId="0" fontId="13" fillId="0" borderId="0" xfId="0" applyFont="1" applyAlignment="1">
      <alignment horizontal="center" vertical="center" wrapText="1"/>
    </xf>
    <xf numFmtId="0" fontId="36" fillId="0" borderId="0" xfId="0" applyFont="1" applyAlignment="1">
      <alignment horizontal="center" vertical="center" wrapText="1"/>
    </xf>
    <xf numFmtId="0" fontId="9" fillId="8" borderId="0" xfId="0" applyFont="1" applyFill="1" applyAlignment="1">
      <alignment horizontal="left" vertical="center"/>
    </xf>
    <xf numFmtId="0" fontId="9" fillId="8" borderId="0" xfId="0" applyFont="1" applyFill="1" applyAlignment="1">
      <alignment horizontal="center" vertical="center"/>
    </xf>
    <xf numFmtId="0" fontId="18" fillId="0" borderId="0" xfId="0" applyFont="1" applyAlignment="1">
      <alignment horizontal="center" vertical="center"/>
    </xf>
    <xf numFmtId="0" fontId="5" fillId="2" borderId="2" xfId="0" applyFont="1" applyFill="1" applyBorder="1" applyAlignment="1">
      <alignment horizontal="left"/>
    </xf>
    <xf numFmtId="3" fontId="11" fillId="4" borderId="2" xfId="0" applyNumberFormat="1" applyFont="1" applyFill="1" applyBorder="1" applyAlignment="1">
      <alignment horizontal="right"/>
    </xf>
    <xf numFmtId="0" fontId="13" fillId="9" borderId="2" xfId="0" applyFont="1" applyFill="1" applyBorder="1" applyAlignment="1">
      <alignment horizontal="center" vertical="center"/>
    </xf>
    <xf numFmtId="0" fontId="13" fillId="2" borderId="2" xfId="0" applyFont="1" applyFill="1" applyBorder="1" applyAlignment="1">
      <alignment horizontal="right" vertical="center"/>
    </xf>
    <xf numFmtId="166" fontId="5" fillId="2" borderId="2" xfId="0" quotePrefix="1" applyNumberFormat="1" applyFont="1" applyFill="1" applyBorder="1" applyAlignment="1">
      <alignment horizontal="right" vertical="center"/>
    </xf>
    <xf numFmtId="0" fontId="5" fillId="2" borderId="2" xfId="0" applyFont="1" applyFill="1" applyBorder="1" applyAlignment="1">
      <alignment horizontal="right" vertical="center"/>
    </xf>
    <xf numFmtId="0" fontId="14" fillId="2" borderId="2" xfId="0" applyFont="1" applyFill="1" applyBorder="1"/>
    <xf numFmtId="3" fontId="5" fillId="2" borderId="2" xfId="0" applyNumberFormat="1" applyFont="1" applyFill="1" applyBorder="1" applyAlignment="1">
      <alignment horizontal="right" vertical="center"/>
    </xf>
    <xf numFmtId="0" fontId="14" fillId="2" borderId="2" xfId="0" applyFont="1" applyFill="1" applyBorder="1" applyAlignment="1">
      <alignment horizontal="left"/>
    </xf>
    <xf numFmtId="0" fontId="14" fillId="4" borderId="2" xfId="0" applyFont="1" applyFill="1" applyBorder="1" applyAlignment="1">
      <alignment horizontal="left"/>
    </xf>
    <xf numFmtId="0" fontId="5" fillId="2" borderId="2" xfId="0" applyFont="1" applyFill="1" applyBorder="1"/>
    <xf numFmtId="0" fontId="5" fillId="2" borderId="2" xfId="0" applyFont="1" applyFill="1" applyBorder="1" applyAlignment="1">
      <alignment horizontal="right"/>
    </xf>
    <xf numFmtId="3" fontId="5" fillId="2" borderId="2" xfId="0" applyNumberFormat="1" applyFont="1" applyFill="1" applyBorder="1" applyAlignment="1">
      <alignment horizontal="right"/>
    </xf>
    <xf numFmtId="0" fontId="11" fillId="2" borderId="2" xfId="0" applyFont="1" applyFill="1" applyBorder="1" applyAlignment="1">
      <alignment horizontal="left"/>
    </xf>
    <xf numFmtId="0" fontId="11" fillId="3" borderId="2" xfId="0" applyFont="1" applyFill="1" applyBorder="1" applyAlignment="1">
      <alignment horizontal="left" vertical="center"/>
    </xf>
    <xf numFmtId="0" fontId="12" fillId="2" borderId="2" xfId="0" applyFont="1" applyFill="1" applyBorder="1" applyAlignment="1">
      <alignment horizontal="left"/>
    </xf>
    <xf numFmtId="0" fontId="14" fillId="3" borderId="2" xfId="0" applyFont="1" applyFill="1" applyBorder="1" applyAlignment="1">
      <alignment horizontal="left"/>
    </xf>
    <xf numFmtId="3" fontId="11" fillId="2" borderId="2" xfId="0" quotePrefix="1" applyNumberFormat="1" applyFont="1" applyFill="1" applyBorder="1" applyAlignment="1">
      <alignment horizontal="right" wrapText="1"/>
    </xf>
    <xf numFmtId="0" fontId="13" fillId="2" borderId="2" xfId="0" applyFont="1" applyFill="1" applyBorder="1" applyAlignment="1">
      <alignment horizontal="left"/>
    </xf>
    <xf numFmtId="0" fontId="11" fillId="2" borderId="2" xfId="0" applyFont="1" applyFill="1" applyBorder="1" applyAlignment="1">
      <alignment horizontal="right"/>
    </xf>
    <xf numFmtId="0" fontId="18" fillId="2" borderId="2" xfId="0" applyFont="1" applyFill="1" applyBorder="1" applyAlignment="1">
      <alignment horizontal="left"/>
    </xf>
    <xf numFmtId="0" fontId="13" fillId="2" borderId="2" xfId="0" applyFont="1" applyFill="1" applyBorder="1" applyAlignment="1">
      <alignment horizontal="right"/>
    </xf>
    <xf numFmtId="0" fontId="13" fillId="0" borderId="2" xfId="0" applyFont="1" applyBorder="1" applyAlignment="1">
      <alignment horizontal="right" vertical="center"/>
    </xf>
    <xf numFmtId="0" fontId="19" fillId="4" borderId="2" xfId="0" applyFont="1" applyFill="1" applyBorder="1" applyAlignment="1">
      <alignment horizontal="right" vertical="center"/>
    </xf>
    <xf numFmtId="3" fontId="5" fillId="0" borderId="2" xfId="0" applyNumberFormat="1" applyFont="1" applyBorder="1" applyAlignment="1">
      <alignment horizontal="right" vertical="center"/>
    </xf>
    <xf numFmtId="166" fontId="5" fillId="0" borderId="2" xfId="0" applyNumberFormat="1" applyFont="1" applyBorder="1" applyAlignment="1">
      <alignment horizontal="right" vertical="center"/>
    </xf>
    <xf numFmtId="166" fontId="5" fillId="2" borderId="2" xfId="0" applyNumberFormat="1" applyFont="1" applyFill="1" applyBorder="1" applyAlignment="1">
      <alignment horizontal="right" vertical="center"/>
    </xf>
    <xf numFmtId="0" fontId="5" fillId="0" borderId="2" xfId="0" applyFont="1" applyBorder="1" applyAlignment="1">
      <alignment horizontal="right" vertical="center"/>
    </xf>
    <xf numFmtId="166" fontId="5" fillId="2" borderId="2" xfId="3" applyNumberFormat="1" applyFont="1" applyFill="1" applyBorder="1" applyAlignment="1">
      <alignment horizontal="right"/>
    </xf>
    <xf numFmtId="166" fontId="11" fillId="2" borderId="2" xfId="3" applyNumberFormat="1" applyFont="1" applyFill="1" applyBorder="1" applyAlignment="1">
      <alignment horizontal="right"/>
    </xf>
    <xf numFmtId="0" fontId="5" fillId="0" borderId="2" xfId="0" applyFont="1" applyBorder="1" applyAlignment="1">
      <alignment horizontal="left"/>
    </xf>
    <xf numFmtId="9" fontId="11" fillId="2" borderId="2" xfId="3" applyFont="1" applyFill="1" applyBorder="1" applyAlignment="1">
      <alignment horizontal="right"/>
    </xf>
    <xf numFmtId="9" fontId="11" fillId="2" borderId="2" xfId="3" applyFont="1" applyFill="1" applyBorder="1" applyAlignment="1">
      <alignment horizontal="right" vertical="center"/>
    </xf>
    <xf numFmtId="166" fontId="13" fillId="2" borderId="2" xfId="0" applyNumberFormat="1" applyFont="1" applyFill="1" applyBorder="1" applyAlignment="1">
      <alignment horizontal="right" vertical="center"/>
    </xf>
    <xf numFmtId="9" fontId="13" fillId="2" borderId="2" xfId="0" applyNumberFormat="1" applyFont="1" applyFill="1" applyBorder="1" applyAlignment="1">
      <alignment horizontal="right" vertical="center"/>
    </xf>
    <xf numFmtId="166" fontId="13" fillId="0" borderId="2" xfId="0" applyNumberFormat="1" applyFont="1" applyBorder="1" applyAlignment="1">
      <alignment horizontal="right" vertical="center"/>
    </xf>
    <xf numFmtId="1" fontId="11" fillId="2" borderId="2" xfId="4" applyNumberFormat="1" applyFont="1" applyFill="1" applyBorder="1" applyAlignment="1">
      <alignment horizontal="right"/>
    </xf>
    <xf numFmtId="0" fontId="5" fillId="0" borderId="2" xfId="0" applyFont="1" applyBorder="1" applyAlignment="1">
      <alignment horizontal="right"/>
    </xf>
    <xf numFmtId="1" fontId="5" fillId="2" borderId="2" xfId="0" applyNumberFormat="1" applyFont="1" applyFill="1" applyBorder="1" applyAlignment="1">
      <alignment horizontal="right" vertical="center"/>
    </xf>
    <xf numFmtId="1" fontId="5" fillId="2" borderId="2" xfId="0" applyNumberFormat="1" applyFont="1" applyFill="1" applyBorder="1" applyAlignment="1">
      <alignment horizontal="right"/>
    </xf>
    <xf numFmtId="170" fontId="5" fillId="2" borderId="2" xfId="4" applyNumberFormat="1" applyFont="1" applyFill="1" applyBorder="1" applyAlignment="1">
      <alignment horizontal="right"/>
    </xf>
    <xf numFmtId="0" fontId="5" fillId="0" borderId="2" xfId="0" applyFont="1" applyBorder="1"/>
    <xf numFmtId="166" fontId="5" fillId="0" borderId="2" xfId="0" applyNumberFormat="1" applyFont="1" applyBorder="1" applyAlignment="1">
      <alignment horizontal="right"/>
    </xf>
    <xf numFmtId="166" fontId="5" fillId="2" borderId="2" xfId="3" applyNumberFormat="1" applyFont="1" applyFill="1" applyBorder="1" applyAlignment="1">
      <alignment horizontal="right" vertical="center" wrapText="1"/>
    </xf>
    <xf numFmtId="0" fontId="5" fillId="2" borderId="2" xfId="0" applyFont="1" applyFill="1" applyBorder="1" applyAlignment="1">
      <alignment horizontal="left" vertical="top" wrapText="1"/>
    </xf>
    <xf numFmtId="2" fontId="5" fillId="2" borderId="2" xfId="0" applyNumberFormat="1" applyFont="1" applyFill="1" applyBorder="1" applyAlignment="1">
      <alignment horizontal="right" vertical="center"/>
    </xf>
    <xf numFmtId="3" fontId="13" fillId="0" borderId="2" xfId="0" applyNumberFormat="1" applyFont="1" applyBorder="1" applyAlignment="1">
      <alignment horizontal="right" vertical="center"/>
    </xf>
    <xf numFmtId="3" fontId="13" fillId="2" borderId="2" xfId="0" applyNumberFormat="1" applyFont="1" applyFill="1" applyBorder="1" applyAlignment="1">
      <alignment horizontal="right" vertical="center"/>
    </xf>
    <xf numFmtId="0" fontId="33" fillId="0" borderId="2" xfId="0" applyFont="1" applyBorder="1" applyAlignment="1">
      <alignment horizontal="left"/>
    </xf>
    <xf numFmtId="0" fontId="33" fillId="0" borderId="2" xfId="0" applyFont="1" applyBorder="1" applyAlignment="1">
      <alignment horizontal="center"/>
    </xf>
    <xf numFmtId="9" fontId="5" fillId="2" borderId="2" xfId="3" applyFont="1" applyFill="1" applyBorder="1" applyAlignment="1">
      <alignment horizontal="right"/>
    </xf>
    <xf numFmtId="0" fontId="10" fillId="2" borderId="2" xfId="0" applyFont="1" applyFill="1" applyBorder="1" applyAlignment="1">
      <alignment horizontal="left"/>
    </xf>
    <xf numFmtId="0" fontId="5" fillId="2" borderId="2" xfId="3" applyNumberFormat="1" applyFont="1" applyFill="1" applyBorder="1" applyAlignment="1">
      <alignment horizontal="right"/>
    </xf>
    <xf numFmtId="0" fontId="10" fillId="9" borderId="2" xfId="0" applyFont="1" applyFill="1" applyBorder="1" applyAlignment="1">
      <alignment horizontal="center"/>
    </xf>
    <xf numFmtId="0" fontId="10" fillId="4" borderId="2" xfId="0" applyFont="1" applyFill="1" applyBorder="1" applyAlignment="1">
      <alignment horizontal="left"/>
    </xf>
    <xf numFmtId="0" fontId="10" fillId="3" borderId="2" xfId="0" applyFont="1" applyFill="1" applyBorder="1" applyAlignment="1">
      <alignment horizontal="left"/>
    </xf>
    <xf numFmtId="0" fontId="10" fillId="10" borderId="2" xfId="0" applyFont="1" applyFill="1" applyBorder="1" applyAlignment="1">
      <alignment horizontal="center"/>
    </xf>
    <xf numFmtId="0" fontId="10" fillId="3" borderId="2" xfId="0" applyFont="1" applyFill="1" applyBorder="1" applyAlignment="1">
      <alignment horizontal="right"/>
    </xf>
    <xf numFmtId="0" fontId="11" fillId="4" borderId="2" xfId="0" applyFont="1" applyFill="1" applyBorder="1" applyAlignment="1">
      <alignment horizontal="left"/>
    </xf>
    <xf numFmtId="0" fontId="11" fillId="0" borderId="2" xfId="0" applyFont="1" applyBorder="1" applyAlignment="1">
      <alignment horizontal="left"/>
    </xf>
    <xf numFmtId="3" fontId="11" fillId="2" borderId="2" xfId="0" quotePrefix="1" applyNumberFormat="1" applyFont="1" applyFill="1" applyBorder="1" applyAlignment="1">
      <alignment horizontal="right"/>
    </xf>
    <xf numFmtId="9" fontId="11" fillId="4" borderId="2" xfId="3" applyFont="1" applyFill="1" applyBorder="1" applyAlignment="1">
      <alignment horizontal="right"/>
    </xf>
    <xf numFmtId="9" fontId="11" fillId="4" borderId="2" xfId="3" quotePrefix="1" applyFont="1" applyFill="1" applyBorder="1" applyAlignment="1">
      <alignment horizontal="right"/>
    </xf>
    <xf numFmtId="0" fontId="10" fillId="4" borderId="2" xfId="0" applyFont="1" applyFill="1" applyBorder="1" applyAlignment="1">
      <alignment horizontal="left" wrapText="1"/>
    </xf>
    <xf numFmtId="0" fontId="11" fillId="4" borderId="2" xfId="0" applyFont="1" applyFill="1" applyBorder="1" applyAlignment="1">
      <alignment horizontal="right"/>
    </xf>
    <xf numFmtId="0" fontId="12" fillId="4" borderId="2" xfId="0" applyFont="1" applyFill="1" applyBorder="1" applyAlignment="1">
      <alignment horizontal="left" wrapText="1"/>
    </xf>
    <xf numFmtId="0" fontId="10" fillId="0" borderId="2" xfId="0" applyFont="1" applyBorder="1" applyAlignment="1">
      <alignment horizontal="left"/>
    </xf>
    <xf numFmtId="167" fontId="5" fillId="2" borderId="2" xfId="0" applyNumberFormat="1" applyFont="1" applyFill="1" applyBorder="1" applyAlignment="1">
      <alignment horizontal="right"/>
    </xf>
    <xf numFmtId="0" fontId="11" fillId="2" borderId="2" xfId="0" applyFont="1" applyFill="1" applyBorder="1" applyAlignment="1">
      <alignment horizontal="left" wrapText="1"/>
    </xf>
    <xf numFmtId="0" fontId="11" fillId="2" borderId="2" xfId="0" applyFont="1" applyFill="1" applyBorder="1" applyAlignment="1">
      <alignment horizontal="right" wrapText="1"/>
    </xf>
    <xf numFmtId="9" fontId="11" fillId="2" borderId="2" xfId="3" applyFont="1" applyFill="1" applyBorder="1" applyAlignment="1">
      <alignment horizontal="right" wrapText="1"/>
    </xf>
    <xf numFmtId="0" fontId="11" fillId="3" borderId="2" xfId="0" applyFont="1" applyFill="1" applyBorder="1" applyAlignment="1">
      <alignment horizontal="left"/>
    </xf>
    <xf numFmtId="0" fontId="19" fillId="3" borderId="2" xfId="0" applyFont="1" applyFill="1" applyBorder="1" applyAlignment="1">
      <alignment horizontal="left"/>
    </xf>
    <xf numFmtId="0" fontId="15" fillId="3" borderId="2" xfId="0" applyFont="1" applyFill="1" applyBorder="1" applyAlignment="1">
      <alignment horizontal="left"/>
    </xf>
    <xf numFmtId="0" fontId="12" fillId="3" borderId="2" xfId="0" applyFont="1" applyFill="1" applyBorder="1" applyAlignment="1">
      <alignment horizontal="left"/>
    </xf>
    <xf numFmtId="0" fontId="19" fillId="2" borderId="2" xfId="0" applyFont="1" applyFill="1" applyBorder="1" applyAlignment="1">
      <alignment horizontal="left" wrapText="1"/>
    </xf>
    <xf numFmtId="0" fontId="15" fillId="5" borderId="2" xfId="0" applyFont="1" applyFill="1" applyBorder="1" applyAlignment="1">
      <alignment horizontal="left"/>
    </xf>
    <xf numFmtId="0" fontId="11" fillId="4" borderId="2" xfId="0" applyFont="1" applyFill="1" applyBorder="1" applyAlignment="1">
      <alignment horizontal="right" wrapText="1"/>
    </xf>
    <xf numFmtId="1" fontId="10" fillId="4" borderId="2" xfId="0" applyNumberFormat="1" applyFont="1" applyFill="1" applyBorder="1" applyAlignment="1">
      <alignment horizontal="right"/>
    </xf>
    <xf numFmtId="1" fontId="11" fillId="4" borderId="2" xfId="0" applyNumberFormat="1" applyFont="1" applyFill="1" applyBorder="1" applyAlignment="1">
      <alignment horizontal="right"/>
    </xf>
    <xf numFmtId="0" fontId="14" fillId="0" borderId="2" xfId="0" applyFont="1" applyBorder="1" applyAlignment="1">
      <alignment horizontal="left"/>
    </xf>
    <xf numFmtId="0" fontId="9" fillId="7" borderId="0" xfId="0" applyFont="1" applyFill="1" applyAlignment="1">
      <alignment horizontal="right"/>
    </xf>
    <xf numFmtId="0" fontId="13" fillId="2" borderId="2" xfId="0" applyFont="1" applyFill="1" applyBorder="1" applyAlignment="1">
      <alignment horizontal="center" vertical="center"/>
    </xf>
    <xf numFmtId="0" fontId="24" fillId="2" borderId="3" xfId="0" applyFont="1" applyFill="1" applyBorder="1"/>
    <xf numFmtId="0" fontId="11" fillId="2" borderId="3" xfId="0" applyFont="1" applyFill="1" applyBorder="1" applyAlignment="1">
      <alignment horizontal="left"/>
    </xf>
    <xf numFmtId="166" fontId="5" fillId="2" borderId="3" xfId="0" quotePrefix="1" applyNumberFormat="1" applyFont="1" applyFill="1" applyBorder="1" applyAlignment="1">
      <alignment horizontal="right" vertical="center"/>
    </xf>
    <xf numFmtId="0" fontId="5" fillId="2" borderId="3" xfId="0" applyFont="1" applyFill="1" applyBorder="1" applyAlignment="1">
      <alignment horizontal="right"/>
    </xf>
    <xf numFmtId="1" fontId="13" fillId="9" borderId="2" xfId="0" applyNumberFormat="1" applyFont="1" applyFill="1" applyBorder="1" applyAlignment="1">
      <alignment horizontal="center"/>
    </xf>
    <xf numFmtId="166" fontId="13" fillId="2" borderId="2" xfId="0" quotePrefix="1" applyNumberFormat="1" applyFont="1" applyFill="1" applyBorder="1" applyAlignment="1">
      <alignment horizontal="center" vertical="center"/>
    </xf>
    <xf numFmtId="0" fontId="15" fillId="4" borderId="2" xfId="0" applyFont="1" applyFill="1" applyBorder="1" applyAlignment="1">
      <alignment horizontal="center" vertical="center"/>
    </xf>
    <xf numFmtId="9" fontId="15" fillId="4" borderId="0" xfId="0" applyNumberFormat="1" applyFont="1" applyFill="1" applyAlignment="1">
      <alignment horizontal="center" vertical="center"/>
    </xf>
    <xf numFmtId="9" fontId="13" fillId="2" borderId="0" xfId="0" applyNumberFormat="1" applyFont="1" applyFill="1" applyAlignment="1">
      <alignment horizontal="center" vertical="center"/>
    </xf>
    <xf numFmtId="3" fontId="11" fillId="2" borderId="0" xfId="0" quotePrefix="1" applyNumberFormat="1" applyFont="1" applyFill="1" applyAlignment="1">
      <alignment horizontal="center" wrapText="1"/>
    </xf>
    <xf numFmtId="0" fontId="16" fillId="0" borderId="0" xfId="0" applyFont="1" applyAlignment="1">
      <alignment horizontal="left" vertical="top"/>
    </xf>
    <xf numFmtId="0" fontId="8" fillId="2" borderId="0" xfId="0" applyFont="1" applyFill="1" applyAlignment="1">
      <alignment vertical="center"/>
    </xf>
    <xf numFmtId="0" fontId="44" fillId="0" borderId="0" xfId="0" applyFont="1"/>
    <xf numFmtId="0" fontId="45" fillId="0" borderId="0" xfId="0" applyFont="1"/>
    <xf numFmtId="0" fontId="6" fillId="7" borderId="0" xfId="0" applyFont="1" applyFill="1" applyAlignment="1">
      <alignment vertical="top"/>
    </xf>
    <xf numFmtId="0" fontId="6" fillId="2" borderId="0" xfId="0" applyFont="1" applyFill="1" applyAlignment="1">
      <alignment vertical="top"/>
    </xf>
    <xf numFmtId="166" fontId="5" fillId="2" borderId="4" xfId="0" applyNumberFormat="1" applyFont="1" applyFill="1" applyBorder="1" applyAlignment="1">
      <alignment horizontal="right" vertical="center"/>
    </xf>
    <xf numFmtId="9" fontId="5" fillId="2" borderId="4" xfId="0" applyNumberFormat="1" applyFont="1" applyFill="1" applyBorder="1" applyAlignment="1">
      <alignment horizontal="right" vertical="center"/>
    </xf>
    <xf numFmtId="166" fontId="11" fillId="2" borderId="0" xfId="3" applyNumberFormat="1" applyFont="1" applyFill="1" applyBorder="1" applyAlignment="1">
      <alignment horizontal="right" vertical="center"/>
    </xf>
    <xf numFmtId="9" fontId="11" fillId="2" borderId="0" xfId="3" applyFont="1" applyFill="1" applyBorder="1" applyAlignment="1">
      <alignment horizontal="right"/>
    </xf>
    <xf numFmtId="166" fontId="5" fillId="2" borderId="0" xfId="0" applyNumberFormat="1" applyFont="1" applyFill="1" applyAlignment="1">
      <alignment horizontal="right" vertical="center"/>
    </xf>
    <xf numFmtId="9" fontId="5" fillId="2" borderId="0" xfId="0" applyNumberFormat="1" applyFont="1" applyFill="1" applyAlignment="1">
      <alignment horizontal="right" vertical="center"/>
    </xf>
    <xf numFmtId="0" fontId="14" fillId="2" borderId="0" xfId="0" applyFont="1" applyFill="1" applyAlignment="1">
      <alignment horizontal="left"/>
    </xf>
    <xf numFmtId="0" fontId="5" fillId="2" borderId="2" xfId="0" applyFont="1" applyFill="1" applyBorder="1" applyAlignment="1">
      <alignment horizontal="left" wrapText="1"/>
    </xf>
    <xf numFmtId="166" fontId="19" fillId="4" borderId="0" xfId="0" applyNumberFormat="1" applyFont="1" applyFill="1" applyAlignment="1">
      <alignment horizontal="right" vertical="center"/>
    </xf>
    <xf numFmtId="9" fontId="19" fillId="4" borderId="0" xfId="0" applyNumberFormat="1" applyFont="1" applyFill="1" applyAlignment="1">
      <alignment horizontal="right" vertical="center"/>
    </xf>
    <xf numFmtId="166" fontId="15" fillId="2" borderId="0" xfId="0" applyNumberFormat="1" applyFont="1" applyFill="1" applyAlignment="1">
      <alignment horizontal="center" vertical="center"/>
    </xf>
    <xf numFmtId="9" fontId="15" fillId="2" borderId="0" xfId="0" applyNumberFormat="1" applyFont="1" applyFill="1" applyAlignment="1">
      <alignment horizontal="center" vertical="center"/>
    </xf>
    <xf numFmtId="0" fontId="13" fillId="2" borderId="0" xfId="0" applyFont="1" applyFill="1" applyAlignment="1">
      <alignment horizontal="left"/>
    </xf>
    <xf numFmtId="0" fontId="32" fillId="2" borderId="2" xfId="0" applyFont="1" applyFill="1" applyBorder="1" applyAlignment="1">
      <alignment horizontal="left"/>
    </xf>
    <xf numFmtId="0" fontId="13" fillId="2" borderId="2" xfId="0" applyFont="1" applyFill="1" applyBorder="1" applyAlignment="1">
      <alignment horizontal="left" wrapText="1"/>
    </xf>
    <xf numFmtId="0" fontId="13" fillId="2" borderId="2" xfId="0" applyFont="1" applyFill="1" applyBorder="1" applyAlignment="1">
      <alignment wrapText="1"/>
    </xf>
    <xf numFmtId="0" fontId="11" fillId="2" borderId="0" xfId="0" applyFont="1" applyFill="1" applyAlignment="1">
      <alignment horizontal="left" vertical="top" wrapText="1"/>
    </xf>
    <xf numFmtId="0" fontId="10" fillId="2" borderId="0" xfId="0" applyFont="1" applyFill="1" applyAlignment="1">
      <alignment horizontal="right" vertical="center"/>
    </xf>
    <xf numFmtId="3" fontId="20" fillId="2" borderId="0" xfId="0" applyNumberFormat="1" applyFont="1" applyFill="1" applyAlignment="1">
      <alignment horizontal="center" vertical="center"/>
    </xf>
    <xf numFmtId="49" fontId="13" fillId="2" borderId="0" xfId="0" quotePrefix="1" applyNumberFormat="1" applyFont="1" applyFill="1" applyAlignment="1">
      <alignment horizontal="center" vertical="center"/>
    </xf>
    <xf numFmtId="49" fontId="15" fillId="4" borderId="0" xfId="0" applyNumberFormat="1" applyFont="1" applyFill="1" applyAlignment="1">
      <alignment horizontal="center" vertical="center"/>
    </xf>
    <xf numFmtId="0" fontId="5" fillId="2" borderId="0" xfId="0" applyFont="1" applyFill="1" applyAlignment="1">
      <alignment horizontal="left" vertical="top" wrapText="1"/>
    </xf>
    <xf numFmtId="0" fontId="13" fillId="2" borderId="0" xfId="0" applyFont="1" applyFill="1" applyAlignment="1">
      <alignment horizontal="right" vertical="center"/>
    </xf>
    <xf numFmtId="0" fontId="5" fillId="2" borderId="0" xfId="0" applyFont="1" applyFill="1" applyAlignment="1">
      <alignment horizontal="left" vertical="top"/>
    </xf>
    <xf numFmtId="0" fontId="19" fillId="2" borderId="0" xfId="0" applyFont="1" applyFill="1" applyAlignment="1">
      <alignment horizontal="left" vertical="top" wrapText="1"/>
    </xf>
    <xf numFmtId="0" fontId="27" fillId="2" borderId="2" xfId="0" applyFont="1" applyFill="1" applyBorder="1"/>
    <xf numFmtId="0" fontId="8" fillId="7" borderId="0" xfId="0" applyFont="1" applyFill="1" applyAlignment="1">
      <alignment horizontal="left"/>
    </xf>
    <xf numFmtId="0" fontId="9" fillId="7" borderId="0" xfId="0" applyFont="1" applyFill="1" applyAlignment="1">
      <alignment horizontal="left"/>
    </xf>
    <xf numFmtId="0" fontId="20" fillId="4" borderId="2" xfId="0" applyFont="1" applyFill="1" applyBorder="1" applyAlignment="1">
      <alignment horizontal="left"/>
    </xf>
    <xf numFmtId="0" fontId="39" fillId="4" borderId="2" xfId="0" applyFont="1" applyFill="1" applyBorder="1" applyAlignment="1">
      <alignment horizontal="left"/>
    </xf>
    <xf numFmtId="0" fontId="16" fillId="0" borderId="2" xfId="0" applyFont="1" applyBorder="1" applyAlignment="1">
      <alignment horizontal="left"/>
    </xf>
    <xf numFmtId="0" fontId="20" fillId="3" borderId="2" xfId="0" applyFont="1" applyFill="1" applyBorder="1" applyAlignment="1">
      <alignment horizontal="left"/>
    </xf>
    <xf numFmtId="0" fontId="42" fillId="4" borderId="2" xfId="0" applyFont="1" applyFill="1" applyBorder="1" applyAlignment="1">
      <alignment horizontal="left"/>
    </xf>
    <xf numFmtId="0" fontId="12" fillId="2" borderId="2" xfId="0" applyFont="1" applyFill="1" applyBorder="1"/>
    <xf numFmtId="0" fontId="15" fillId="4" borderId="2" xfId="0" applyFont="1" applyFill="1" applyBorder="1" applyAlignment="1">
      <alignment horizontal="left"/>
    </xf>
    <xf numFmtId="0" fontId="10" fillId="2" borderId="2" xfId="0" applyFont="1" applyFill="1" applyBorder="1"/>
    <xf numFmtId="0" fontId="41" fillId="4" borderId="2" xfId="0" applyFont="1" applyFill="1" applyBorder="1" applyAlignment="1">
      <alignment horizontal="left"/>
    </xf>
    <xf numFmtId="0" fontId="17" fillId="0" borderId="0" xfId="0" applyFont="1" applyAlignment="1">
      <alignment horizontal="left"/>
    </xf>
    <xf numFmtId="0" fontId="18" fillId="0" borderId="0" xfId="0" applyFont="1" applyAlignment="1">
      <alignment horizontal="left"/>
    </xf>
    <xf numFmtId="0" fontId="30" fillId="2" borderId="2" xfId="0" applyFont="1" applyFill="1" applyBorder="1"/>
    <xf numFmtId="0" fontId="16" fillId="0" borderId="0" xfId="0" applyFont="1" applyAlignment="1">
      <alignment horizontal="center" vertical="top"/>
    </xf>
    <xf numFmtId="0" fontId="5" fillId="2" borderId="4" xfId="0" applyFont="1" applyFill="1" applyBorder="1" applyAlignment="1">
      <alignment horizontal="left"/>
    </xf>
    <xf numFmtId="166" fontId="15" fillId="2" borderId="4" xfId="0" applyNumberFormat="1" applyFont="1" applyFill="1" applyBorder="1" applyAlignment="1">
      <alignment horizontal="center" vertical="center"/>
    </xf>
    <xf numFmtId="0" fontId="15" fillId="2" borderId="4" xfId="0" applyFont="1" applyFill="1" applyBorder="1" applyAlignment="1">
      <alignment horizontal="center" vertical="center"/>
    </xf>
    <xf numFmtId="166" fontId="19" fillId="4" borderId="4" xfId="0" applyNumberFormat="1" applyFont="1" applyFill="1" applyBorder="1" applyAlignment="1">
      <alignment horizontal="right" vertical="center"/>
    </xf>
    <xf numFmtId="9" fontId="19" fillId="4" borderId="4" xfId="0" applyNumberFormat="1" applyFont="1" applyFill="1" applyBorder="1" applyAlignment="1">
      <alignment horizontal="right" vertical="center"/>
    </xf>
    <xf numFmtId="166" fontId="5" fillId="0" borderId="4" xfId="0" applyNumberFormat="1" applyFont="1" applyBorder="1" applyAlignment="1">
      <alignment horizontal="right" vertical="center"/>
    </xf>
    <xf numFmtId="9" fontId="5" fillId="0" borderId="4" xfId="0" applyNumberFormat="1" applyFont="1" applyBorder="1" applyAlignment="1">
      <alignment horizontal="right" vertical="center"/>
    </xf>
    <xf numFmtId="0" fontId="17" fillId="2" borderId="4" xfId="0" applyFont="1" applyFill="1" applyBorder="1" applyAlignment="1">
      <alignment vertical="top"/>
    </xf>
    <xf numFmtId="0" fontId="5" fillId="2" borderId="4" xfId="0" applyFont="1" applyFill="1" applyBorder="1"/>
    <xf numFmtId="0" fontId="5" fillId="2" borderId="4" xfId="0" applyFont="1" applyFill="1" applyBorder="1" applyAlignment="1">
      <alignment horizontal="right"/>
    </xf>
    <xf numFmtId="166" fontId="5" fillId="2" borderId="0" xfId="3" applyNumberFormat="1" applyFont="1" applyFill="1" applyBorder="1" applyAlignment="1">
      <alignment horizontal="right" vertical="center"/>
    </xf>
    <xf numFmtId="0" fontId="17" fillId="0" borderId="0" xfId="0" applyFont="1" applyAlignment="1">
      <alignment horizontal="left" vertical="top"/>
    </xf>
    <xf numFmtId="166" fontId="13" fillId="2" borderId="0" xfId="0" quotePrefix="1" applyNumberFormat="1" applyFont="1" applyFill="1" applyAlignment="1">
      <alignment horizontal="center" vertical="center"/>
    </xf>
    <xf numFmtId="0" fontId="5" fillId="2" borderId="4" xfId="0" applyFont="1" applyFill="1" applyBorder="1" applyAlignment="1">
      <alignment horizontal="right" vertical="center"/>
    </xf>
    <xf numFmtId="0" fontId="5" fillId="0" borderId="4" xfId="0" applyFont="1" applyBorder="1" applyAlignment="1">
      <alignment horizontal="right" vertical="center"/>
    </xf>
    <xf numFmtId="9" fontId="5" fillId="2" borderId="0" xfId="0" quotePrefix="1" applyNumberFormat="1" applyFont="1" applyFill="1" applyAlignment="1">
      <alignment horizontal="right" vertical="center"/>
    </xf>
    <xf numFmtId="0" fontId="6" fillId="7" borderId="0" xfId="0" applyFont="1" applyFill="1" applyAlignment="1">
      <alignment vertical="top" wrapText="1"/>
    </xf>
    <xf numFmtId="0" fontId="6" fillId="8" borderId="0" xfId="0" applyFont="1" applyFill="1" applyAlignment="1">
      <alignment vertical="top"/>
    </xf>
    <xf numFmtId="0" fontId="5" fillId="0" borderId="0" xfId="0" applyFont="1" applyAlignment="1">
      <alignment horizontal="left" vertical="center"/>
    </xf>
    <xf numFmtId="0" fontId="41" fillId="2" borderId="0" xfId="0" applyFont="1" applyFill="1" applyAlignment="1">
      <alignment horizontal="left" vertical="center" wrapText="1"/>
    </xf>
    <xf numFmtId="166" fontId="11" fillId="4" borderId="0" xfId="3" applyNumberFormat="1" applyFont="1" applyFill="1" applyBorder="1" applyAlignment="1">
      <alignment horizontal="right"/>
    </xf>
    <xf numFmtId="166" fontId="11" fillId="4" borderId="0" xfId="3" applyNumberFormat="1" applyFont="1" applyFill="1" applyBorder="1" applyAlignment="1">
      <alignment horizontal="right" wrapText="1"/>
    </xf>
    <xf numFmtId="166" fontId="11" fillId="2" borderId="0" xfId="3" applyNumberFormat="1" applyFont="1" applyFill="1" applyBorder="1" applyAlignment="1">
      <alignment horizontal="right"/>
    </xf>
    <xf numFmtId="0" fontId="6" fillId="7" borderId="0" xfId="0" applyFont="1" applyFill="1" applyAlignment="1">
      <alignment vertical="center"/>
    </xf>
    <xf numFmtId="0" fontId="14" fillId="2" borderId="2" xfId="0" applyFont="1" applyFill="1" applyBorder="1" applyAlignment="1">
      <alignment horizontal="left" indent="1"/>
    </xf>
    <xf numFmtId="0" fontId="11" fillId="2" borderId="2" xfId="0" applyFont="1" applyFill="1" applyBorder="1" applyAlignment="1">
      <alignment horizontal="left" indent="1"/>
    </xf>
    <xf numFmtId="0" fontId="14" fillId="4" borderId="2" xfId="0" applyFont="1" applyFill="1" applyBorder="1" applyAlignment="1">
      <alignment horizontal="left" indent="1"/>
    </xf>
    <xf numFmtId="0" fontId="5" fillId="2" borderId="2" xfId="0" applyFont="1" applyFill="1" applyBorder="1" applyAlignment="1">
      <alignment horizontal="left" indent="1"/>
    </xf>
    <xf numFmtId="0" fontId="14" fillId="3" borderId="2" xfId="0" applyFont="1" applyFill="1" applyBorder="1" applyAlignment="1">
      <alignment horizontal="left" indent="1"/>
    </xf>
    <xf numFmtId="0" fontId="5" fillId="0" borderId="2" xfId="0" applyFont="1" applyBorder="1" applyAlignment="1">
      <alignment horizontal="left" indent="1"/>
    </xf>
    <xf numFmtId="0" fontId="11" fillId="0" borderId="2" xfId="0" applyFont="1" applyBorder="1" applyAlignment="1">
      <alignment horizontal="left" indent="1"/>
    </xf>
    <xf numFmtId="0" fontId="14" fillId="2" borderId="2" xfId="0" applyFont="1" applyFill="1" applyBorder="1" applyAlignment="1">
      <alignment horizontal="left" wrapText="1" indent="1"/>
    </xf>
    <xf numFmtId="0" fontId="14" fillId="4" borderId="2" xfId="0" applyFont="1" applyFill="1" applyBorder="1" applyAlignment="1">
      <alignment horizontal="left" wrapText="1" indent="1"/>
    </xf>
    <xf numFmtId="0" fontId="11" fillId="4" borderId="2" xfId="0" applyFont="1" applyFill="1" applyBorder="1" applyAlignment="1">
      <alignment horizontal="left" wrapText="1" indent="1"/>
    </xf>
    <xf numFmtId="0" fontId="14" fillId="0" borderId="2" xfId="0" applyFont="1" applyBorder="1" applyAlignment="1">
      <alignment horizontal="left" indent="1"/>
    </xf>
    <xf numFmtId="0" fontId="11" fillId="4" borderId="2" xfId="0" applyFont="1" applyFill="1" applyBorder="1" applyAlignment="1">
      <alignment horizontal="left" indent="1"/>
    </xf>
    <xf numFmtId="0" fontId="50" fillId="4" borderId="0" xfId="0" applyFont="1" applyFill="1" applyAlignment="1">
      <alignment horizontal="left"/>
    </xf>
    <xf numFmtId="0" fontId="11" fillId="3" borderId="2" xfId="0" applyFont="1" applyFill="1" applyBorder="1" applyAlignment="1">
      <alignment horizontal="left" indent="1"/>
    </xf>
    <xf numFmtId="0" fontId="19" fillId="3" borderId="2" xfId="0" applyFont="1" applyFill="1" applyBorder="1" applyAlignment="1">
      <alignment horizontal="left" indent="1"/>
    </xf>
    <xf numFmtId="0" fontId="19" fillId="2" borderId="2" xfId="0" applyFont="1" applyFill="1" applyBorder="1" applyAlignment="1">
      <alignment horizontal="left" indent="1"/>
    </xf>
    <xf numFmtId="0" fontId="19" fillId="5" borderId="2" xfId="0" applyFont="1" applyFill="1" applyBorder="1" applyAlignment="1">
      <alignment horizontal="left" indent="1"/>
    </xf>
    <xf numFmtId="0" fontId="14" fillId="4" borderId="2" xfId="0" applyFont="1" applyFill="1" applyBorder="1" applyAlignment="1">
      <alignment horizontal="left" indent="2"/>
    </xf>
    <xf numFmtId="0" fontId="14" fillId="0" borderId="2" xfId="0" applyFont="1" applyBorder="1" applyAlignment="1">
      <alignment horizontal="left" wrapText="1" indent="1"/>
    </xf>
    <xf numFmtId="0" fontId="20" fillId="3" borderId="0" xfId="0" applyFont="1" applyFill="1" applyAlignment="1">
      <alignment horizontal="left" indent="1"/>
    </xf>
    <xf numFmtId="0" fontId="11" fillId="3" borderId="2" xfId="0" applyFont="1" applyFill="1" applyBorder="1" applyAlignment="1">
      <alignment horizontal="left" indent="2"/>
    </xf>
    <xf numFmtId="0" fontId="12" fillId="4" borderId="2" xfId="0" applyFont="1" applyFill="1" applyBorder="1" applyAlignment="1">
      <alignment horizontal="left" indent="1"/>
    </xf>
    <xf numFmtId="0" fontId="5" fillId="2" borderId="2" xfId="0" applyFont="1" applyFill="1" applyBorder="1" applyAlignment="1">
      <alignment horizontal="left" wrapText="1" indent="1"/>
    </xf>
    <xf numFmtId="0" fontId="13" fillId="0" borderId="2" xfId="0" applyFont="1" applyBorder="1" applyAlignment="1">
      <alignment horizontal="left"/>
    </xf>
    <xf numFmtId="0" fontId="51" fillId="2" borderId="0" xfId="0" applyFont="1" applyFill="1" applyAlignment="1">
      <alignment horizontal="left"/>
    </xf>
    <xf numFmtId="0" fontId="18" fillId="2" borderId="0" xfId="0" applyFont="1" applyFill="1" applyAlignment="1">
      <alignment vertical="top" wrapText="1"/>
    </xf>
    <xf numFmtId="0" fontId="15" fillId="4" borderId="2" xfId="0" applyFont="1" applyFill="1" applyBorder="1" applyAlignment="1">
      <alignment horizontal="right"/>
    </xf>
    <xf numFmtId="0" fontId="15" fillId="2" borderId="2" xfId="0" applyFont="1" applyFill="1" applyBorder="1" applyAlignment="1">
      <alignment horizontal="right"/>
    </xf>
    <xf numFmtId="166" fontId="5" fillId="2" borderId="2" xfId="0" quotePrefix="1" applyNumberFormat="1" applyFont="1" applyFill="1" applyBorder="1" applyAlignment="1">
      <alignment horizontal="right"/>
    </xf>
    <xf numFmtId="0" fontId="19" fillId="4" borderId="2" xfId="0" applyFont="1" applyFill="1" applyBorder="1" applyAlignment="1">
      <alignment horizontal="right"/>
    </xf>
    <xf numFmtId="3" fontId="5" fillId="0" borderId="2" xfId="0" applyNumberFormat="1" applyFont="1" applyBorder="1" applyAlignment="1">
      <alignment horizontal="right"/>
    </xf>
    <xf numFmtId="1" fontId="5" fillId="2" borderId="2" xfId="3" applyNumberFormat="1" applyFont="1" applyFill="1" applyBorder="1" applyAlignment="1">
      <alignment horizontal="right"/>
    </xf>
    <xf numFmtId="9" fontId="5" fillId="2" borderId="2" xfId="0" quotePrefix="1" applyNumberFormat="1" applyFont="1" applyFill="1" applyBorder="1" applyAlignment="1">
      <alignment horizontal="right"/>
    </xf>
    <xf numFmtId="170" fontId="11" fillId="2" borderId="2" xfId="4" applyNumberFormat="1" applyFont="1" applyFill="1" applyBorder="1" applyAlignment="1">
      <alignment horizontal="right"/>
    </xf>
    <xf numFmtId="166" fontId="11" fillId="2" borderId="0" xfId="0" quotePrefix="1" applyNumberFormat="1" applyFont="1" applyFill="1" applyAlignment="1">
      <alignment horizontal="right"/>
    </xf>
    <xf numFmtId="166" fontId="5" fillId="2" borderId="0" xfId="0" quotePrefix="1" applyNumberFormat="1" applyFont="1" applyFill="1" applyAlignment="1">
      <alignment horizontal="right"/>
    </xf>
    <xf numFmtId="166" fontId="11" fillId="2" borderId="2" xfId="0" quotePrefix="1" applyNumberFormat="1" applyFont="1" applyFill="1" applyBorder="1" applyAlignment="1">
      <alignment horizontal="right"/>
    </xf>
    <xf numFmtId="166" fontId="5" fillId="2" borderId="2" xfId="0" applyNumberFormat="1" applyFont="1" applyFill="1" applyBorder="1" applyAlignment="1">
      <alignment horizontal="right"/>
    </xf>
    <xf numFmtId="9" fontId="5" fillId="2" borderId="2" xfId="0" applyNumberFormat="1" applyFont="1" applyFill="1" applyBorder="1" applyAlignment="1">
      <alignment horizontal="right"/>
    </xf>
    <xf numFmtId="9" fontId="11" fillId="4" borderId="2" xfId="0" applyNumberFormat="1" applyFont="1" applyFill="1" applyBorder="1" applyAlignment="1">
      <alignment horizontal="right"/>
    </xf>
    <xf numFmtId="9" fontId="5" fillId="0" borderId="2" xfId="0" applyNumberFormat="1" applyFont="1" applyBorder="1" applyAlignment="1">
      <alignment horizontal="right"/>
    </xf>
    <xf numFmtId="170" fontId="19" fillId="4" borderId="2" xfId="4" applyNumberFormat="1" applyFont="1" applyFill="1" applyBorder="1" applyAlignment="1">
      <alignment horizontal="right"/>
    </xf>
    <xf numFmtId="166" fontId="19" fillId="4" borderId="2" xfId="0" applyNumberFormat="1" applyFont="1" applyFill="1" applyBorder="1" applyAlignment="1">
      <alignment horizontal="right"/>
    </xf>
    <xf numFmtId="0" fontId="10" fillId="4" borderId="2" xfId="0" applyFont="1" applyFill="1" applyBorder="1" applyAlignment="1">
      <alignment horizontal="right"/>
    </xf>
    <xf numFmtId="166" fontId="11" fillId="4" borderId="2" xfId="3" applyNumberFormat="1" applyFont="1" applyFill="1" applyBorder="1" applyAlignment="1">
      <alignment horizontal="right"/>
    </xf>
    <xf numFmtId="166" fontId="11" fillId="0" borderId="2" xfId="3" applyNumberFormat="1" applyFont="1" applyBorder="1" applyAlignment="1">
      <alignment horizontal="right"/>
    </xf>
    <xf numFmtId="166" fontId="11" fillId="3" borderId="2" xfId="3" applyNumberFormat="1" applyFont="1" applyFill="1" applyBorder="1" applyAlignment="1">
      <alignment horizontal="right"/>
    </xf>
    <xf numFmtId="0" fontId="14" fillId="4" borderId="2" xfId="0" applyFont="1" applyFill="1" applyBorder="1" applyAlignment="1">
      <alignment horizontal="right" wrapText="1"/>
    </xf>
    <xf numFmtId="170" fontId="11" fillId="4" borderId="2" xfId="4" applyNumberFormat="1" applyFont="1" applyFill="1" applyBorder="1" applyAlignment="1">
      <alignment horizontal="right"/>
    </xf>
    <xf numFmtId="37" fontId="11" fillId="0" borderId="2" xfId="4" applyNumberFormat="1" applyFont="1" applyBorder="1" applyAlignment="1">
      <alignment horizontal="right"/>
    </xf>
    <xf numFmtId="37" fontId="11" fillId="3" borderId="2" xfId="4" applyNumberFormat="1" applyFont="1" applyFill="1" applyBorder="1" applyAlignment="1">
      <alignment horizontal="right"/>
    </xf>
    <xf numFmtId="0" fontId="14" fillId="0" borderId="2" xfId="0" applyFont="1" applyBorder="1" applyAlignment="1">
      <alignment horizontal="right" wrapText="1"/>
    </xf>
    <xf numFmtId="168" fontId="11" fillId="4" borderId="2" xfId="0" applyNumberFormat="1" applyFont="1" applyFill="1" applyBorder="1" applyAlignment="1">
      <alignment horizontal="right"/>
    </xf>
    <xf numFmtId="168" fontId="11" fillId="0" borderId="2" xfId="0" applyNumberFormat="1" applyFont="1" applyBorder="1" applyAlignment="1">
      <alignment horizontal="right"/>
    </xf>
    <xf numFmtId="168" fontId="11" fillId="3" borderId="2" xfId="0" applyNumberFormat="1" applyFont="1" applyFill="1" applyBorder="1" applyAlignment="1">
      <alignment horizontal="right"/>
    </xf>
    <xf numFmtId="168" fontId="11" fillId="4" borderId="2" xfId="0" applyNumberFormat="1" applyFont="1" applyFill="1" applyBorder="1" applyAlignment="1">
      <alignment horizontal="right" wrapText="1"/>
    </xf>
    <xf numFmtId="9" fontId="11" fillId="4" borderId="2" xfId="3" applyFont="1" applyFill="1" applyBorder="1" applyAlignment="1">
      <alignment horizontal="right" wrapText="1"/>
    </xf>
    <xf numFmtId="0" fontId="11" fillId="4" borderId="2" xfId="0" quotePrefix="1" applyFont="1" applyFill="1" applyBorder="1" applyAlignment="1">
      <alignment horizontal="right"/>
    </xf>
    <xf numFmtId="2" fontId="11" fillId="4" borderId="2" xfId="0" applyNumberFormat="1" applyFont="1" applyFill="1" applyBorder="1" applyAlignment="1">
      <alignment horizontal="right"/>
    </xf>
    <xf numFmtId="0" fontId="11" fillId="0" borderId="2" xfId="0" quotePrefix="1" applyFont="1" applyBorder="1" applyAlignment="1">
      <alignment horizontal="right"/>
    </xf>
    <xf numFmtId="169" fontId="11" fillId="4" borderId="2" xfId="4" applyNumberFormat="1" applyFont="1" applyFill="1" applyBorder="1" applyAlignment="1">
      <alignment horizontal="right"/>
    </xf>
    <xf numFmtId="166" fontId="11" fillId="4" borderId="2" xfId="3" applyNumberFormat="1" applyFont="1" applyFill="1" applyBorder="1" applyAlignment="1">
      <alignment horizontal="right" wrapText="1"/>
    </xf>
    <xf numFmtId="9" fontId="11" fillId="3" borderId="2" xfId="3" applyFont="1" applyFill="1" applyBorder="1" applyAlignment="1">
      <alignment horizontal="right"/>
    </xf>
    <xf numFmtId="3" fontId="11" fillId="2" borderId="2" xfId="0" applyNumberFormat="1" applyFont="1" applyFill="1" applyBorder="1" applyAlignment="1">
      <alignment horizontal="right"/>
    </xf>
    <xf numFmtId="167" fontId="5" fillId="0" borderId="2" xfId="0" applyNumberFormat="1" applyFont="1" applyBorder="1" applyAlignment="1">
      <alignment horizontal="right"/>
    </xf>
    <xf numFmtId="167" fontId="5" fillId="0" borderId="2" xfId="0" quotePrefix="1" applyNumberFormat="1" applyFont="1" applyBorder="1" applyAlignment="1">
      <alignment horizontal="right"/>
    </xf>
    <xf numFmtId="166" fontId="11" fillId="2" borderId="2" xfId="0" applyNumberFormat="1" applyFont="1" applyFill="1" applyBorder="1" applyAlignment="1">
      <alignment horizontal="right"/>
    </xf>
    <xf numFmtId="168" fontId="11" fillId="2" borderId="2" xfId="0" applyNumberFormat="1" applyFont="1" applyFill="1" applyBorder="1" applyAlignment="1">
      <alignment horizontal="right" wrapText="1"/>
    </xf>
    <xf numFmtId="168" fontId="5" fillId="2" borderId="2" xfId="0" applyNumberFormat="1" applyFont="1" applyFill="1" applyBorder="1" applyAlignment="1">
      <alignment horizontal="right"/>
    </xf>
    <xf numFmtId="168" fontId="5" fillId="0" borderId="2" xfId="0" applyNumberFormat="1" applyFont="1" applyBorder="1" applyAlignment="1">
      <alignment horizontal="right"/>
    </xf>
    <xf numFmtId="168" fontId="5" fillId="2" borderId="2" xfId="0" applyNumberFormat="1" applyFont="1" applyFill="1" applyBorder="1" applyAlignment="1">
      <alignment horizontal="right" wrapText="1"/>
    </xf>
    <xf numFmtId="168" fontId="5" fillId="0" borderId="2" xfId="0" applyNumberFormat="1" applyFont="1" applyBorder="1" applyAlignment="1">
      <alignment horizontal="right" wrapText="1"/>
    </xf>
    <xf numFmtId="0" fontId="11" fillId="0" borderId="2" xfId="0" applyFont="1" applyBorder="1" applyAlignment="1">
      <alignment horizontal="right" wrapText="1"/>
    </xf>
    <xf numFmtId="9" fontId="11" fillId="0" borderId="2" xfId="3" applyFont="1" applyBorder="1" applyAlignment="1">
      <alignment horizontal="right" wrapText="1"/>
    </xf>
    <xf numFmtId="9" fontId="5" fillId="0" borderId="2" xfId="3" applyFont="1" applyBorder="1" applyAlignment="1">
      <alignment horizontal="right"/>
    </xf>
    <xf numFmtId="170" fontId="11" fillId="2" borderId="2" xfId="0" applyNumberFormat="1" applyFont="1" applyFill="1" applyBorder="1" applyAlignment="1">
      <alignment horizontal="right"/>
    </xf>
    <xf numFmtId="0" fontId="12" fillId="4" borderId="2" xfId="0" applyFont="1" applyFill="1" applyBorder="1" applyAlignment="1">
      <alignment horizontal="right"/>
    </xf>
    <xf numFmtId="0" fontId="14" fillId="2" borderId="2" xfId="0" applyFont="1" applyFill="1" applyBorder="1" applyAlignment="1">
      <alignment horizontal="right" wrapText="1"/>
    </xf>
    <xf numFmtId="169" fontId="11" fillId="2" borderId="2" xfId="0" applyNumberFormat="1" applyFont="1" applyFill="1" applyBorder="1" applyAlignment="1">
      <alignment horizontal="right"/>
    </xf>
    <xf numFmtId="3" fontId="11" fillId="2" borderId="2" xfId="0" applyNumberFormat="1" applyFont="1" applyFill="1" applyBorder="1" applyAlignment="1">
      <alignment horizontal="right" wrapText="1"/>
    </xf>
    <xf numFmtId="9" fontId="11" fillId="2" borderId="2" xfId="0" applyNumberFormat="1" applyFont="1" applyFill="1" applyBorder="1" applyAlignment="1">
      <alignment horizontal="right" wrapText="1"/>
    </xf>
    <xf numFmtId="170" fontId="11" fillId="4" borderId="2" xfId="0" applyNumberFormat="1" applyFont="1" applyFill="1" applyBorder="1" applyAlignment="1">
      <alignment horizontal="right"/>
    </xf>
    <xf numFmtId="169" fontId="11" fillId="4" borderId="2" xfId="5" applyNumberFormat="1" applyFont="1" applyFill="1" applyBorder="1" applyAlignment="1">
      <alignment horizontal="right" wrapText="1"/>
    </xf>
    <xf numFmtId="10" fontId="11" fillId="2" borderId="2" xfId="3" applyNumberFormat="1" applyFont="1" applyFill="1" applyBorder="1" applyAlignment="1">
      <alignment horizontal="right"/>
    </xf>
    <xf numFmtId="166" fontId="11" fillId="4" borderId="2" xfId="6" applyNumberFormat="1" applyFont="1" applyFill="1" applyBorder="1" applyAlignment="1">
      <alignment horizontal="right" wrapText="1"/>
    </xf>
    <xf numFmtId="166" fontId="19" fillId="2" borderId="2" xfId="0" applyNumberFormat="1" applyFont="1" applyFill="1" applyBorder="1" applyAlignment="1">
      <alignment horizontal="right"/>
    </xf>
    <xf numFmtId="0" fontId="14" fillId="4" borderId="2" xfId="0" applyFont="1" applyFill="1" applyBorder="1" applyAlignment="1">
      <alignment horizontal="right"/>
    </xf>
    <xf numFmtId="3" fontId="11" fillId="0" borderId="2" xfId="0" applyNumberFormat="1" applyFont="1" applyBorder="1" applyAlignment="1">
      <alignment horizontal="right"/>
    </xf>
    <xf numFmtId="9" fontId="19" fillId="4" borderId="2" xfId="0" applyNumberFormat="1" applyFont="1" applyFill="1" applyBorder="1" applyAlignment="1">
      <alignment horizontal="right"/>
    </xf>
    <xf numFmtId="0" fontId="11" fillId="0" borderId="2" xfId="0" applyFont="1" applyBorder="1" applyAlignment="1">
      <alignment horizontal="right"/>
    </xf>
    <xf numFmtId="0" fontId="11" fillId="3" borderId="2" xfId="0" applyFont="1" applyFill="1" applyBorder="1" applyAlignment="1">
      <alignment horizontal="right"/>
    </xf>
    <xf numFmtId="9" fontId="11" fillId="4" borderId="2" xfId="0" applyNumberFormat="1" applyFont="1" applyFill="1" applyBorder="1" applyAlignment="1">
      <alignment horizontal="right" wrapText="1"/>
    </xf>
    <xf numFmtId="2" fontId="11" fillId="2" borderId="2" xfId="0" applyNumberFormat="1" applyFont="1" applyFill="1" applyBorder="1" applyAlignment="1">
      <alignment horizontal="right"/>
    </xf>
    <xf numFmtId="3" fontId="11" fillId="3" borderId="2" xfId="0" applyNumberFormat="1" applyFont="1" applyFill="1" applyBorder="1" applyAlignment="1">
      <alignment horizontal="right"/>
    </xf>
    <xf numFmtId="169" fontId="11" fillId="2" borderId="2" xfId="4" applyNumberFormat="1" applyFont="1" applyFill="1" applyBorder="1" applyAlignment="1">
      <alignment horizontal="right"/>
    </xf>
    <xf numFmtId="172" fontId="11" fillId="4" borderId="2" xfId="0" applyNumberFormat="1" applyFont="1" applyFill="1" applyBorder="1" applyAlignment="1">
      <alignment horizontal="right"/>
    </xf>
    <xf numFmtId="9" fontId="11" fillId="3" borderId="2" xfId="0" applyNumberFormat="1" applyFont="1" applyFill="1" applyBorder="1" applyAlignment="1">
      <alignment horizontal="right" wrapText="1"/>
    </xf>
    <xf numFmtId="0" fontId="5" fillId="2" borderId="2" xfId="0" applyFont="1" applyFill="1" applyBorder="1" applyAlignment="1">
      <alignment horizontal="right" wrapText="1"/>
    </xf>
    <xf numFmtId="0" fontId="5" fillId="0" borderId="2" xfId="0" applyFont="1" applyBorder="1" applyAlignment="1">
      <alignment horizontal="right" wrapText="1"/>
    </xf>
    <xf numFmtId="3" fontId="5" fillId="2" borderId="2" xfId="0" applyNumberFormat="1" applyFont="1" applyFill="1" applyBorder="1" applyAlignment="1">
      <alignment horizontal="right" wrapText="1"/>
    </xf>
    <xf numFmtId="166" fontId="11" fillId="4" borderId="2" xfId="0" applyNumberFormat="1" applyFont="1" applyFill="1" applyBorder="1" applyAlignment="1">
      <alignment horizontal="right"/>
    </xf>
    <xf numFmtId="9" fontId="5" fillId="2" borderId="2" xfId="3" applyFont="1" applyFill="1" applyBorder="1" applyAlignment="1">
      <alignment horizontal="right" wrapText="1"/>
    </xf>
    <xf numFmtId="1" fontId="5" fillId="2" borderId="2" xfId="4" applyNumberFormat="1" applyFont="1" applyFill="1" applyBorder="1" applyAlignment="1">
      <alignment horizontal="right"/>
    </xf>
    <xf numFmtId="0" fontId="31" fillId="2" borderId="0" xfId="0" applyFont="1" applyFill="1" applyAlignment="1">
      <alignment horizontal="right" vertical="center"/>
    </xf>
    <xf numFmtId="9" fontId="5" fillId="2" borderId="0" xfId="3" applyFont="1" applyFill="1" applyBorder="1" applyAlignment="1">
      <alignment horizontal="right" vertical="center"/>
    </xf>
    <xf numFmtId="166" fontId="5" fillId="2" borderId="0" xfId="0" quotePrefix="1" applyNumberFormat="1" applyFont="1" applyFill="1" applyAlignment="1">
      <alignment horizontal="center" vertical="center"/>
    </xf>
    <xf numFmtId="0" fontId="5" fillId="0" borderId="0" xfId="0" applyFont="1" applyAlignment="1">
      <alignment vertical="center"/>
    </xf>
    <xf numFmtId="0" fontId="5" fillId="2"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Alignment="1">
      <alignment horizontal="center" vertical="center"/>
    </xf>
    <xf numFmtId="0" fontId="7" fillId="7" borderId="0" xfId="0" applyFont="1" applyFill="1" applyAlignment="1">
      <alignment horizontal="left" vertical="center"/>
    </xf>
    <xf numFmtId="0" fontId="5" fillId="2" borderId="0" xfId="0" applyFont="1" applyFill="1" applyAlignment="1">
      <alignment vertical="center"/>
    </xf>
    <xf numFmtId="0" fontId="15" fillId="9" borderId="2" xfId="0" applyFont="1" applyFill="1" applyBorder="1" applyAlignment="1">
      <alignment horizontal="center"/>
    </xf>
    <xf numFmtId="166" fontId="15" fillId="9" borderId="2" xfId="0" applyNumberFormat="1" applyFont="1" applyFill="1" applyBorder="1" applyAlignment="1">
      <alignment horizontal="center"/>
    </xf>
    <xf numFmtId="9" fontId="15" fillId="9" borderId="2" xfId="0" applyNumberFormat="1" applyFont="1" applyFill="1" applyBorder="1" applyAlignment="1">
      <alignment horizontal="center"/>
    </xf>
    <xf numFmtId="166" fontId="13" fillId="9" borderId="2" xfId="0" quotePrefix="1" applyNumberFormat="1" applyFont="1" applyFill="1" applyBorder="1" applyAlignment="1">
      <alignment horizontal="center"/>
    </xf>
    <xf numFmtId="0" fontId="13" fillId="2" borderId="4" xfId="0" applyFont="1" applyFill="1" applyBorder="1" applyAlignment="1">
      <alignment horizontal="center" vertical="center"/>
    </xf>
    <xf numFmtId="1" fontId="10" fillId="2" borderId="0" xfId="0" applyNumberFormat="1" applyFont="1" applyFill="1" applyAlignment="1">
      <alignment horizontal="center" vertical="center"/>
    </xf>
    <xf numFmtId="0" fontId="10" fillId="2" borderId="3" xfId="0" applyFont="1" applyFill="1" applyBorder="1" applyAlignment="1">
      <alignment horizontal="center" vertical="center"/>
    </xf>
    <xf numFmtId="0" fontId="13" fillId="2" borderId="3" xfId="0" applyFont="1" applyFill="1" applyBorder="1" applyAlignment="1">
      <alignment horizontal="center" vertical="center"/>
    </xf>
    <xf numFmtId="0" fontId="6" fillId="7" borderId="0" xfId="0" applyFont="1" applyFill="1" applyAlignment="1">
      <alignment horizontal="center" vertical="center"/>
    </xf>
    <xf numFmtId="0" fontId="6" fillId="8" borderId="0" xfId="0" applyFont="1" applyFill="1" applyAlignment="1">
      <alignment vertical="center"/>
    </xf>
    <xf numFmtId="0" fontId="6" fillId="7" borderId="0" xfId="0" applyFont="1" applyFill="1" applyAlignment="1">
      <alignment horizontal="center" vertical="center" wrapText="1"/>
    </xf>
    <xf numFmtId="174" fontId="11" fillId="2" borderId="2" xfId="4" applyNumberFormat="1" applyFont="1" applyFill="1" applyBorder="1" applyAlignment="1">
      <alignment horizontal="right"/>
    </xf>
    <xf numFmtId="2" fontId="5" fillId="2" borderId="2" xfId="0" applyNumberFormat="1" applyFont="1" applyFill="1" applyBorder="1" applyAlignment="1">
      <alignment horizontal="right" wrapText="1"/>
    </xf>
    <xf numFmtId="0" fontId="16" fillId="2" borderId="0" xfId="0" applyFont="1" applyFill="1" applyAlignment="1">
      <alignment horizontal="center"/>
    </xf>
    <xf numFmtId="9" fontId="5" fillId="2" borderId="2" xfId="0" applyNumberFormat="1" applyFont="1" applyFill="1" applyBorder="1" applyAlignment="1">
      <alignment horizontal="right" wrapText="1"/>
    </xf>
    <xf numFmtId="9" fontId="5" fillId="0" borderId="2" xfId="0" applyNumberFormat="1" applyFont="1" applyBorder="1" applyAlignment="1">
      <alignment horizontal="right" wrapText="1"/>
    </xf>
    <xf numFmtId="0" fontId="21" fillId="0" borderId="4" xfId="0" applyFont="1" applyBorder="1"/>
    <xf numFmtId="0" fontId="13" fillId="2" borderId="0" xfId="0" applyFont="1" applyFill="1" applyAlignment="1">
      <alignment horizontal="center"/>
    </xf>
    <xf numFmtId="9" fontId="11" fillId="2" borderId="6" xfId="3" applyFont="1" applyFill="1" applyBorder="1" applyAlignment="1">
      <alignment horizontal="right"/>
    </xf>
    <xf numFmtId="166" fontId="11" fillId="2" borderId="6" xfId="3" applyNumberFormat="1" applyFont="1" applyFill="1" applyBorder="1" applyAlignment="1">
      <alignment horizontal="right"/>
    </xf>
    <xf numFmtId="166" fontId="5" fillId="2" borderId="6" xfId="0" quotePrefix="1" applyNumberFormat="1" applyFont="1" applyFill="1" applyBorder="1" applyAlignment="1">
      <alignment horizontal="right"/>
    </xf>
    <xf numFmtId="166" fontId="16" fillId="2" borderId="5" xfId="0" quotePrefix="1" applyNumberFormat="1" applyFont="1" applyFill="1" applyBorder="1" applyAlignment="1">
      <alignment horizontal="center" vertical="center"/>
    </xf>
    <xf numFmtId="0" fontId="16" fillId="2" borderId="5" xfId="0" applyFont="1" applyFill="1" applyBorder="1" applyAlignment="1">
      <alignment horizontal="center" vertical="center"/>
    </xf>
    <xf numFmtId="0" fontId="16" fillId="2" borderId="5" xfId="0" applyFont="1" applyFill="1" applyBorder="1"/>
    <xf numFmtId="0" fontId="15" fillId="4" borderId="4" xfId="0" applyFont="1" applyFill="1" applyBorder="1" applyAlignment="1">
      <alignment horizontal="center" vertical="center"/>
    </xf>
    <xf numFmtId="0" fontId="19" fillId="4" borderId="4" xfId="0" applyFont="1" applyFill="1" applyBorder="1" applyAlignment="1">
      <alignment horizontal="right" vertical="center"/>
    </xf>
    <xf numFmtId="166" fontId="5" fillId="2" borderId="4" xfId="0" quotePrefix="1" applyNumberFormat="1" applyFont="1" applyFill="1" applyBorder="1" applyAlignment="1">
      <alignment horizontal="right" vertical="center"/>
    </xf>
    <xf numFmtId="166" fontId="11" fillId="4" borderId="6" xfId="0" applyNumberFormat="1" applyFont="1" applyFill="1" applyBorder="1" applyAlignment="1">
      <alignment horizontal="right"/>
    </xf>
    <xf numFmtId="9" fontId="11" fillId="4" borderId="6" xfId="0" applyNumberFormat="1" applyFont="1" applyFill="1" applyBorder="1" applyAlignment="1">
      <alignment horizontal="right"/>
    </xf>
    <xf numFmtId="0" fontId="31" fillId="2" borderId="4" xfId="0" applyFont="1" applyFill="1" applyBorder="1" applyAlignment="1">
      <alignment horizontal="left"/>
    </xf>
    <xf numFmtId="0" fontId="18" fillId="2" borderId="5" xfId="0" applyFont="1" applyFill="1" applyBorder="1"/>
    <xf numFmtId="166" fontId="5" fillId="2" borderId="6" xfId="3" applyNumberFormat="1" applyFont="1" applyFill="1" applyBorder="1" applyAlignment="1">
      <alignment horizontal="right"/>
    </xf>
    <xf numFmtId="9" fontId="5" fillId="2" borderId="6" xfId="3" applyFont="1" applyFill="1" applyBorder="1" applyAlignment="1">
      <alignment horizontal="right"/>
    </xf>
    <xf numFmtId="166" fontId="5" fillId="2" borderId="0" xfId="0" applyNumberFormat="1" applyFont="1" applyFill="1" applyAlignment="1">
      <alignment horizontal="right"/>
    </xf>
    <xf numFmtId="9" fontId="5" fillId="2" borderId="0" xfId="0" applyNumberFormat="1" applyFont="1" applyFill="1" applyAlignment="1">
      <alignment horizontal="right"/>
    </xf>
    <xf numFmtId="166" fontId="5" fillId="0" borderId="0" xfId="0" applyNumberFormat="1" applyFont="1" applyAlignment="1">
      <alignment horizontal="right"/>
    </xf>
    <xf numFmtId="9" fontId="5" fillId="0" borderId="0" xfId="0" applyNumberFormat="1" applyFont="1" applyAlignment="1">
      <alignment horizontal="right"/>
    </xf>
    <xf numFmtId="0" fontId="16" fillId="2" borderId="0" xfId="0" applyFont="1" applyFill="1" applyAlignment="1">
      <alignment vertical="top" wrapText="1"/>
    </xf>
    <xf numFmtId="0" fontId="5" fillId="2" borderId="0" xfId="0" applyFont="1" applyFill="1" applyAlignment="1">
      <alignment horizontal="left" indent="1"/>
    </xf>
    <xf numFmtId="1" fontId="13" fillId="2" borderId="0" xfId="4" applyNumberFormat="1" applyFont="1" applyFill="1" applyBorder="1" applyAlignment="1">
      <alignment horizontal="center"/>
    </xf>
    <xf numFmtId="0" fontId="10" fillId="2" borderId="0" xfId="0" applyFont="1" applyFill="1" applyAlignment="1">
      <alignment horizontal="center"/>
    </xf>
    <xf numFmtId="166" fontId="19" fillId="4" borderId="0" xfId="0" applyNumberFormat="1" applyFont="1" applyFill="1" applyAlignment="1">
      <alignment horizontal="right"/>
    </xf>
    <xf numFmtId="9" fontId="19" fillId="4" borderId="0" xfId="0" applyNumberFormat="1" applyFont="1" applyFill="1" applyAlignment="1">
      <alignment horizontal="right"/>
    </xf>
    <xf numFmtId="166" fontId="15" fillId="2" borderId="0" xfId="0" applyNumberFormat="1" applyFont="1" applyFill="1" applyAlignment="1">
      <alignment horizontal="center"/>
    </xf>
    <xf numFmtId="9" fontId="15" fillId="2" borderId="0" xfId="0" applyNumberFormat="1" applyFont="1" applyFill="1" applyAlignment="1">
      <alignment horizontal="center"/>
    </xf>
    <xf numFmtId="0" fontId="16" fillId="0" borderId="0" xfId="0" applyFont="1" applyAlignment="1">
      <alignment vertical="top" wrapText="1"/>
    </xf>
    <xf numFmtId="0" fontId="54" fillId="2" borderId="0" xfId="0" applyFont="1" applyFill="1" applyAlignment="1">
      <alignment vertical="top" wrapText="1"/>
    </xf>
    <xf numFmtId="0" fontId="13" fillId="9" borderId="2" xfId="0" quotePrefix="1" applyFont="1" applyFill="1" applyBorder="1" applyAlignment="1">
      <alignment horizontal="center"/>
    </xf>
    <xf numFmtId="9" fontId="15" fillId="9" borderId="2" xfId="3" applyFont="1" applyFill="1" applyBorder="1" applyAlignment="1">
      <alignment horizontal="center"/>
    </xf>
    <xf numFmtId="10" fontId="13" fillId="2" borderId="2" xfId="0" applyNumberFormat="1" applyFont="1" applyFill="1" applyBorder="1" applyAlignment="1">
      <alignment horizontal="center" vertical="center"/>
    </xf>
    <xf numFmtId="0" fontId="15" fillId="4" borderId="0" xfId="0" applyFont="1" applyFill="1" applyAlignment="1">
      <alignment horizontal="right" vertical="center"/>
    </xf>
    <xf numFmtId="10" fontId="13" fillId="2" borderId="0" xfId="0" applyNumberFormat="1" applyFont="1" applyFill="1" applyAlignment="1">
      <alignment horizontal="center" vertical="center"/>
    </xf>
    <xf numFmtId="0" fontId="13" fillId="0" borderId="0" xfId="0" applyFont="1" applyAlignment="1">
      <alignment horizontal="left" vertical="center"/>
    </xf>
    <xf numFmtId="0" fontId="24" fillId="2" borderId="0" xfId="0" applyFont="1" applyFill="1" applyAlignment="1">
      <alignment vertical="top"/>
    </xf>
    <xf numFmtId="166" fontId="13" fillId="2" borderId="2" xfId="0" applyNumberFormat="1" applyFont="1" applyFill="1" applyBorder="1" applyAlignment="1">
      <alignment horizontal="center" vertical="center"/>
    </xf>
    <xf numFmtId="0" fontId="52" fillId="2" borderId="3" xfId="0" applyFont="1" applyFill="1" applyBorder="1" applyAlignment="1">
      <alignment horizontal="left"/>
    </xf>
    <xf numFmtId="0" fontId="50" fillId="0" borderId="0" xfId="0" applyFont="1" applyAlignment="1">
      <alignment vertical="top"/>
    </xf>
    <xf numFmtId="0" fontId="14" fillId="0" borderId="0" xfId="0" applyFont="1"/>
    <xf numFmtId="0" fontId="58" fillId="2" borderId="0" xfId="0" applyFont="1" applyFill="1" applyAlignment="1">
      <alignment horizontal="left"/>
    </xf>
    <xf numFmtId="1" fontId="5" fillId="2" borderId="0" xfId="0" applyNumberFormat="1" applyFont="1" applyFill="1" applyAlignment="1">
      <alignment horizontal="right"/>
    </xf>
    <xf numFmtId="3" fontId="5" fillId="2" borderId="0" xfId="0" applyNumberFormat="1" applyFont="1" applyFill="1" applyAlignment="1">
      <alignment horizontal="right" vertical="center"/>
    </xf>
    <xf numFmtId="0" fontId="50" fillId="2" borderId="3" xfId="0" applyFont="1" applyFill="1" applyBorder="1" applyAlignment="1">
      <alignment horizontal="left"/>
    </xf>
    <xf numFmtId="0" fontId="5" fillId="2" borderId="3" xfId="0" applyFont="1" applyFill="1" applyBorder="1" applyAlignment="1">
      <alignment horizontal="left"/>
    </xf>
    <xf numFmtId="1" fontId="5" fillId="2" borderId="3" xfId="0" applyNumberFormat="1" applyFont="1" applyFill="1" applyBorder="1" applyAlignment="1">
      <alignment horizontal="right" vertical="center"/>
    </xf>
    <xf numFmtId="1" fontId="5" fillId="2" borderId="3" xfId="0" applyNumberFormat="1" applyFont="1" applyFill="1" applyBorder="1" applyAlignment="1">
      <alignment horizontal="right"/>
    </xf>
    <xf numFmtId="3" fontId="5" fillId="2" borderId="3" xfId="0" applyNumberFormat="1" applyFont="1" applyFill="1" applyBorder="1" applyAlignment="1">
      <alignment horizontal="right" vertical="center"/>
    </xf>
    <xf numFmtId="3" fontId="5" fillId="0" borderId="3" xfId="0" applyNumberFormat="1" applyFont="1" applyBorder="1" applyAlignment="1">
      <alignment horizontal="right" vertical="center"/>
    </xf>
    <xf numFmtId="0" fontId="14" fillId="2" borderId="3" xfId="0" applyFont="1" applyFill="1" applyBorder="1" applyAlignment="1">
      <alignment horizontal="left"/>
    </xf>
    <xf numFmtId="0" fontId="50" fillId="2" borderId="0" xfId="0" applyFont="1" applyFill="1"/>
    <xf numFmtId="0" fontId="11" fillId="2" borderId="2" xfId="0" applyFont="1" applyFill="1" applyBorder="1"/>
    <xf numFmtId="0" fontId="50" fillId="0" borderId="3" xfId="0" applyFont="1" applyBorder="1"/>
    <xf numFmtId="0" fontId="5" fillId="0" borderId="3" xfId="0" applyFont="1" applyBorder="1" applyAlignment="1">
      <alignment horizontal="right" vertical="center"/>
    </xf>
    <xf numFmtId="0" fontId="5" fillId="2" borderId="3" xfId="0" applyFont="1" applyFill="1" applyBorder="1" applyAlignment="1">
      <alignment horizontal="right" vertical="center"/>
    </xf>
    <xf numFmtId="166" fontId="13" fillId="0" borderId="0" xfId="0" quotePrefix="1" applyNumberFormat="1" applyFont="1" applyAlignment="1">
      <alignment horizontal="center"/>
    </xf>
    <xf numFmtId="0" fontId="13" fillId="0" borderId="0" xfId="0" applyFont="1" applyAlignment="1">
      <alignment horizontal="center"/>
    </xf>
    <xf numFmtId="166" fontId="11" fillId="0" borderId="0" xfId="3" applyNumberFormat="1" applyFont="1" applyFill="1" applyBorder="1" applyAlignment="1">
      <alignment horizontal="right"/>
    </xf>
    <xf numFmtId="0" fontId="10" fillId="9" borderId="2" xfId="0" applyFont="1" applyFill="1" applyBorder="1" applyAlignment="1">
      <alignment horizontal="center" vertical="center"/>
    </xf>
    <xf numFmtId="0" fontId="11" fillId="2" borderId="3" xfId="0" applyFont="1" applyFill="1" applyBorder="1" applyAlignment="1">
      <alignment horizontal="right" vertical="center"/>
    </xf>
    <xf numFmtId="9" fontId="10" fillId="9" borderId="2" xfId="3" applyFont="1" applyFill="1" applyBorder="1" applyAlignment="1">
      <alignment horizontal="center"/>
    </xf>
    <xf numFmtId="0" fontId="50" fillId="2" borderId="0" xfId="0" applyFont="1" applyFill="1" applyAlignment="1">
      <alignment horizontal="left" vertical="top"/>
    </xf>
    <xf numFmtId="3" fontId="5" fillId="0" borderId="4" xfId="0" applyNumberFormat="1" applyFont="1" applyBorder="1" applyAlignment="1">
      <alignment horizontal="right" vertical="center"/>
    </xf>
    <xf numFmtId="0" fontId="15" fillId="4" borderId="3" xfId="0" applyFont="1" applyFill="1" applyBorder="1" applyAlignment="1">
      <alignment horizontal="center"/>
    </xf>
    <xf numFmtId="0" fontId="19" fillId="4" borderId="3" xfId="0" applyFont="1" applyFill="1" applyBorder="1" applyAlignment="1">
      <alignment horizontal="right"/>
    </xf>
    <xf numFmtId="3" fontId="5" fillId="0" borderId="3" xfId="0" applyNumberFormat="1" applyFont="1" applyBorder="1" applyAlignment="1">
      <alignment horizontal="right"/>
    </xf>
    <xf numFmtId="3" fontId="16" fillId="0" borderId="0" xfId="0" applyNumberFormat="1" applyFont="1" applyAlignment="1">
      <alignment horizontal="center"/>
    </xf>
    <xf numFmtId="0" fontId="16" fillId="0" borderId="0" xfId="0" applyFont="1" applyAlignment="1">
      <alignment horizontal="center"/>
    </xf>
    <xf numFmtId="0" fontId="50" fillId="0" borderId="0" xfId="0" applyFont="1"/>
    <xf numFmtId="169" fontId="14" fillId="2" borderId="4" xfId="4" applyNumberFormat="1" applyFont="1" applyFill="1" applyBorder="1" applyAlignment="1">
      <alignment horizontal="right" vertical="center"/>
    </xf>
    <xf numFmtId="0" fontId="25" fillId="2" borderId="2" xfId="0" applyFont="1" applyFill="1" applyBorder="1" applyAlignment="1">
      <alignment horizontal="left"/>
    </xf>
    <xf numFmtId="0" fontId="39" fillId="2" borderId="2" xfId="0" applyFont="1" applyFill="1" applyBorder="1" applyAlignment="1">
      <alignment horizontal="left"/>
    </xf>
    <xf numFmtId="0" fontId="10" fillId="2" borderId="2" xfId="0" applyFont="1" applyFill="1" applyBorder="1" applyAlignment="1">
      <alignment horizontal="left" wrapText="1"/>
    </xf>
    <xf numFmtId="0" fontId="59" fillId="2" borderId="2" xfId="0" applyFont="1" applyFill="1" applyBorder="1" applyAlignment="1">
      <alignment horizontal="left"/>
    </xf>
    <xf numFmtId="0" fontId="20" fillId="2" borderId="2" xfId="0" applyFont="1" applyFill="1" applyBorder="1" applyAlignment="1">
      <alignment horizontal="left"/>
    </xf>
    <xf numFmtId="0" fontId="11" fillId="2" borderId="0" xfId="0" applyFont="1" applyFill="1" applyAlignment="1">
      <alignment horizontal="left" wrapText="1"/>
    </xf>
    <xf numFmtId="1" fontId="10" fillId="2" borderId="0" xfId="0" applyNumberFormat="1" applyFont="1" applyFill="1" applyAlignment="1">
      <alignment horizontal="center"/>
    </xf>
    <xf numFmtId="0" fontId="10" fillId="2" borderId="0" xfId="0" applyFont="1" applyFill="1" applyAlignment="1">
      <alignment horizontal="right"/>
    </xf>
    <xf numFmtId="0" fontId="11" fillId="0" borderId="0" xfId="0" applyFont="1" applyAlignment="1">
      <alignment vertical="top"/>
    </xf>
    <xf numFmtId="0" fontId="52" fillId="2" borderId="0" xfId="0" applyFont="1" applyFill="1"/>
    <xf numFmtId="0" fontId="60" fillId="2" borderId="3" xfId="0" applyFont="1" applyFill="1" applyBorder="1" applyAlignment="1">
      <alignment horizontal="center"/>
    </xf>
    <xf numFmtId="0" fontId="52" fillId="2" borderId="3" xfId="0" applyFont="1" applyFill="1" applyBorder="1" applyAlignment="1">
      <alignment horizontal="right"/>
    </xf>
    <xf numFmtId="0" fontId="16" fillId="2" borderId="2" xfId="0" applyFont="1" applyFill="1" applyBorder="1" applyAlignment="1">
      <alignment horizontal="left"/>
    </xf>
    <xf numFmtId="0" fontId="20" fillId="2" borderId="2" xfId="0" applyFont="1" applyFill="1" applyBorder="1"/>
    <xf numFmtId="169" fontId="14" fillId="2" borderId="3" xfId="4" applyNumberFormat="1" applyFont="1" applyFill="1" applyBorder="1" applyAlignment="1">
      <alignment horizontal="right" vertical="center"/>
    </xf>
    <xf numFmtId="0" fontId="10" fillId="2" borderId="2" xfId="0" applyFont="1" applyFill="1" applyBorder="1" applyAlignment="1">
      <alignment horizontal="left" indent="1"/>
    </xf>
    <xf numFmtId="165" fontId="11" fillId="2" borderId="2" xfId="0" applyNumberFormat="1" applyFont="1" applyFill="1" applyBorder="1" applyAlignment="1">
      <alignment horizontal="right" wrapText="1"/>
    </xf>
    <xf numFmtId="1" fontId="11" fillId="2" borderId="2" xfId="0" applyNumberFormat="1" applyFont="1" applyFill="1" applyBorder="1" applyAlignment="1">
      <alignment horizontal="right" wrapText="1"/>
    </xf>
    <xf numFmtId="165" fontId="11" fillId="2" borderId="2" xfId="0" quotePrefix="1" applyNumberFormat="1" applyFont="1" applyFill="1" applyBorder="1" applyAlignment="1">
      <alignment horizontal="right" wrapText="1"/>
    </xf>
    <xf numFmtId="0" fontId="11" fillId="2" borderId="2" xfId="0" applyFont="1" applyFill="1" applyBorder="1" applyAlignment="1">
      <alignment horizontal="left" wrapText="1" indent="1"/>
    </xf>
    <xf numFmtId="0" fontId="10" fillId="3" borderId="2" xfId="0" applyFont="1" applyFill="1" applyBorder="1" applyAlignment="1">
      <alignment horizontal="left" indent="1"/>
    </xf>
    <xf numFmtId="174" fontId="11" fillId="4" borderId="2" xfId="4" applyNumberFormat="1" applyFont="1" applyFill="1" applyBorder="1" applyAlignment="1">
      <alignment horizontal="right"/>
    </xf>
    <xf numFmtId="0" fontId="11" fillId="4" borderId="2" xfId="0" applyFont="1" applyFill="1" applyBorder="1" applyAlignment="1">
      <alignment horizontal="left" indent="2"/>
    </xf>
    <xf numFmtId="0" fontId="10" fillId="4" borderId="2" xfId="0" applyFont="1" applyFill="1" applyBorder="1" applyAlignment="1">
      <alignment horizontal="left" indent="1"/>
    </xf>
    <xf numFmtId="0" fontId="11" fillId="0" borderId="2" xfId="0" applyFont="1" applyBorder="1" applyAlignment="1">
      <alignment horizontal="left" wrapText="1" indent="1"/>
    </xf>
    <xf numFmtId="0" fontId="0" fillId="2" borderId="0" xfId="0" applyFill="1" applyAlignment="1">
      <alignment vertical="center"/>
    </xf>
    <xf numFmtId="0" fontId="61" fillId="2" borderId="0" xfId="0" applyFont="1" applyFill="1" applyAlignment="1">
      <alignment vertical="center"/>
    </xf>
    <xf numFmtId="0" fontId="62" fillId="2" borderId="0" xfId="0" applyFont="1" applyFill="1" applyAlignment="1">
      <alignment vertical="center" wrapText="1"/>
    </xf>
    <xf numFmtId="0" fontId="5" fillId="2" borderId="7" xfId="0" applyFont="1" applyFill="1" applyBorder="1" applyAlignment="1">
      <alignment vertical="center" wrapText="1"/>
    </xf>
    <xf numFmtId="0" fontId="5" fillId="0" borderId="7" xfId="0" applyFont="1" applyBorder="1" applyAlignment="1">
      <alignment vertical="center"/>
    </xf>
    <xf numFmtId="0" fontId="5" fillId="0" borderId="7" xfId="0" applyFont="1" applyBorder="1" applyAlignment="1">
      <alignment vertical="center" wrapText="1"/>
    </xf>
    <xf numFmtId="0" fontId="19" fillId="0" borderId="7" xfId="0" applyFont="1" applyBorder="1" applyAlignment="1">
      <alignment vertical="center" wrapText="1"/>
    </xf>
    <xf numFmtId="0" fontId="11" fillId="0" borderId="7" xfId="0" applyFont="1" applyBorder="1" applyAlignment="1">
      <alignment vertical="top" wrapText="1"/>
    </xf>
    <xf numFmtId="0" fontId="11" fillId="0" borderId="7" xfId="0" applyFont="1" applyBorder="1" applyAlignment="1">
      <alignment horizontal="left" vertical="center" wrapText="1"/>
    </xf>
    <xf numFmtId="0" fontId="11" fillId="0" borderId="7" xfId="0" applyFont="1" applyBorder="1" applyAlignment="1">
      <alignment vertical="center" wrapText="1"/>
    </xf>
    <xf numFmtId="0" fontId="14" fillId="0" borderId="7" xfId="0" applyFont="1" applyBorder="1" applyAlignment="1">
      <alignment vertical="center"/>
    </xf>
    <xf numFmtId="0" fontId="11" fillId="2" borderId="7" xfId="0" applyFont="1" applyFill="1" applyBorder="1" applyAlignment="1">
      <alignment vertical="center" wrapText="1"/>
    </xf>
    <xf numFmtId="0" fontId="11" fillId="2" borderId="7" xfId="0" applyFont="1" applyFill="1" applyBorder="1" applyAlignment="1">
      <alignment vertical="center"/>
    </xf>
    <xf numFmtId="0" fontId="5" fillId="2" borderId="7"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11" fillId="0" borderId="7" xfId="0" applyFont="1" applyBorder="1" applyAlignment="1">
      <alignment vertical="center"/>
    </xf>
    <xf numFmtId="0" fontId="5" fillId="0" borderId="10" xfId="0" applyFont="1" applyBorder="1" applyAlignment="1">
      <alignment horizontal="left" vertical="center" wrapText="1"/>
    </xf>
    <xf numFmtId="0" fontId="11" fillId="2" borderId="7" xfId="0" applyFont="1" applyFill="1" applyBorder="1" applyAlignment="1">
      <alignment horizontal="left" vertical="top" wrapText="1"/>
    </xf>
    <xf numFmtId="0" fontId="14" fillId="2" borderId="7" xfId="0" applyFont="1" applyFill="1" applyBorder="1" applyAlignment="1">
      <alignment vertical="center"/>
    </xf>
    <xf numFmtId="0" fontId="11" fillId="2" borderId="7" xfId="0" applyFont="1" applyFill="1" applyBorder="1" applyAlignment="1">
      <alignment horizontal="left" vertical="center" wrapText="1"/>
    </xf>
    <xf numFmtId="0" fontId="10" fillId="2" borderId="7" xfId="0" applyFont="1" applyFill="1" applyBorder="1" applyAlignment="1">
      <alignment vertical="center"/>
    </xf>
    <xf numFmtId="0" fontId="13" fillId="2" borderId="7" xfId="0" applyFont="1" applyFill="1" applyBorder="1" applyAlignment="1">
      <alignment vertical="center"/>
    </xf>
    <xf numFmtId="0" fontId="63" fillId="2" borderId="7" xfId="0" applyFont="1" applyFill="1" applyBorder="1" applyAlignment="1">
      <alignment vertical="center"/>
    </xf>
    <xf numFmtId="0" fontId="63" fillId="0" borderId="7" xfId="0" applyFont="1" applyBorder="1" applyAlignment="1">
      <alignment vertical="center"/>
    </xf>
    <xf numFmtId="0" fontId="14" fillId="2" borderId="7"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7" xfId="0" applyFont="1" applyBorder="1" applyAlignment="1">
      <alignment horizontal="left" vertical="center" wrapText="1"/>
    </xf>
    <xf numFmtId="0" fontId="13" fillId="2" borderId="7" xfId="0" applyFont="1" applyFill="1" applyBorder="1" applyAlignment="1">
      <alignment horizontal="left" vertical="center" wrapText="1"/>
    </xf>
    <xf numFmtId="0" fontId="13" fillId="0" borderId="10" xfId="0" applyFont="1" applyBorder="1" applyAlignment="1">
      <alignment horizontal="left" vertical="center" wrapText="1"/>
    </xf>
    <xf numFmtId="0" fontId="64" fillId="13" borderId="7" xfId="0" applyFont="1" applyFill="1" applyBorder="1" applyAlignment="1">
      <alignment horizontal="center" vertical="center" wrapText="1"/>
    </xf>
    <xf numFmtId="0" fontId="6" fillId="13" borderId="0" xfId="0" applyFont="1" applyFill="1" applyAlignment="1">
      <alignment vertical="center"/>
    </xf>
    <xf numFmtId="166" fontId="13" fillId="2" borderId="0" xfId="0" applyNumberFormat="1" applyFont="1" applyFill="1" applyAlignment="1">
      <alignment horizontal="center" vertical="center"/>
    </xf>
    <xf numFmtId="9" fontId="10" fillId="9" borderId="2" xfId="0" applyNumberFormat="1" applyFont="1" applyFill="1" applyBorder="1" applyAlignment="1">
      <alignment horizontal="center" wrapText="1"/>
    </xf>
    <xf numFmtId="165" fontId="5" fillId="2" borderId="0" xfId="0" applyNumberFormat="1" applyFont="1" applyFill="1" applyAlignment="1">
      <alignment horizontal="left"/>
    </xf>
    <xf numFmtId="0" fontId="15" fillId="2" borderId="2" xfId="0" applyFont="1" applyFill="1" applyBorder="1" applyAlignment="1">
      <alignment horizontal="left"/>
    </xf>
    <xf numFmtId="0" fontId="19" fillId="0" borderId="2" xfId="0" applyFont="1" applyBorder="1" applyAlignment="1">
      <alignment horizontal="left" wrapText="1" indent="1"/>
    </xf>
    <xf numFmtId="1" fontId="13" fillId="2" borderId="3" xfId="0" applyNumberFormat="1" applyFont="1" applyFill="1" applyBorder="1" applyAlignment="1">
      <alignment horizontal="center" vertical="center"/>
    </xf>
    <xf numFmtId="9" fontId="11" fillId="2" borderId="2" xfId="6" applyFont="1" applyFill="1" applyBorder="1" applyAlignment="1">
      <alignment horizontal="right"/>
    </xf>
    <xf numFmtId="9" fontId="11" fillId="0" borderId="2" xfId="0" applyNumberFormat="1" applyFont="1" applyBorder="1" applyAlignment="1">
      <alignment horizontal="right" wrapText="1"/>
    </xf>
    <xf numFmtId="0" fontId="65" fillId="2" borderId="0" xfId="0" applyFont="1" applyFill="1"/>
    <xf numFmtId="0" fontId="65" fillId="2" borderId="0" xfId="0" applyFont="1" applyFill="1" applyAlignment="1">
      <alignment horizontal="center" vertical="center"/>
    </xf>
    <xf numFmtId="10" fontId="5" fillId="2" borderId="0" xfId="3" applyNumberFormat="1" applyFont="1" applyFill="1" applyAlignment="1">
      <alignment horizontal="right"/>
    </xf>
    <xf numFmtId="10" fontId="16" fillId="2" borderId="0" xfId="3" applyNumberFormat="1" applyFont="1" applyFill="1"/>
    <xf numFmtId="0" fontId="68" fillId="3" borderId="2" xfId="7" applyFont="1" applyFill="1" applyBorder="1" applyAlignment="1">
      <alignment horizontal="left"/>
    </xf>
    <xf numFmtId="9" fontId="11" fillId="2" borderId="2" xfId="3" quotePrefix="1" applyFont="1" applyFill="1" applyBorder="1" applyAlignment="1">
      <alignment horizontal="right" wrapText="1"/>
    </xf>
    <xf numFmtId="0" fontId="65" fillId="0" borderId="0" xfId="0" applyFont="1"/>
    <xf numFmtId="0" fontId="65" fillId="2" borderId="0" xfId="0" applyFont="1" applyFill="1" applyAlignment="1">
      <alignment vertical="top"/>
    </xf>
    <xf numFmtId="3" fontId="11" fillId="0" borderId="2" xfId="0" quotePrefix="1" applyNumberFormat="1" applyFont="1" applyBorder="1" applyAlignment="1">
      <alignment horizontal="right" wrapText="1"/>
    </xf>
    <xf numFmtId="0" fontId="66" fillId="2" borderId="0" xfId="0" applyFont="1" applyFill="1" applyAlignment="1">
      <alignment horizontal="center" vertical="center"/>
    </xf>
    <xf numFmtId="3" fontId="11" fillId="2" borderId="0" xfId="0" applyNumberFormat="1" applyFont="1" applyFill="1" applyAlignment="1">
      <alignment horizontal="center" vertical="center"/>
    </xf>
    <xf numFmtId="3" fontId="11" fillId="0" borderId="2" xfId="0" applyNumberFormat="1" applyFont="1" applyBorder="1" applyAlignment="1">
      <alignment horizontal="right" wrapText="1"/>
    </xf>
    <xf numFmtId="0" fontId="13" fillId="11" borderId="7" xfId="0" applyFont="1" applyFill="1" applyBorder="1" applyAlignment="1">
      <alignment vertical="center"/>
    </xf>
    <xf numFmtId="0" fontId="5" fillId="12" borderId="7" xfId="0" applyFont="1" applyFill="1" applyBorder="1" applyAlignment="1">
      <alignment horizontal="left" vertical="center" wrapText="1"/>
    </xf>
    <xf numFmtId="0" fontId="11" fillId="12" borderId="7" xfId="0" applyFont="1" applyFill="1" applyBorder="1" applyAlignment="1">
      <alignment vertical="center"/>
    </xf>
    <xf numFmtId="0" fontId="5" fillId="12" borderId="10" xfId="0" applyFont="1" applyFill="1" applyBorder="1" applyAlignment="1">
      <alignment horizontal="left" vertical="center" wrapText="1"/>
    </xf>
    <xf numFmtId="0" fontId="11" fillId="3" borderId="0" xfId="0" applyFont="1" applyFill="1" applyAlignment="1">
      <alignment horizontal="left" indent="1"/>
    </xf>
    <xf numFmtId="9" fontId="11" fillId="4" borderId="0" xfId="3" applyFont="1" applyFill="1" applyBorder="1" applyAlignment="1">
      <alignment horizontal="right"/>
    </xf>
    <xf numFmtId="0" fontId="52" fillId="0" borderId="0" xfId="0" applyFont="1"/>
    <xf numFmtId="0" fontId="52" fillId="0" borderId="0" xfId="0" applyFont="1" applyAlignment="1">
      <alignment vertical="center"/>
    </xf>
    <xf numFmtId="0" fontId="52" fillId="0" borderId="0" xfId="0" applyFont="1" applyAlignment="1">
      <alignment horizontal="right"/>
    </xf>
    <xf numFmtId="0" fontId="52" fillId="0" borderId="0" xfId="0" applyFont="1" applyAlignment="1">
      <alignment horizontal="right" vertical="center"/>
    </xf>
    <xf numFmtId="169" fontId="11" fillId="2" borderId="0" xfId="4" applyNumberFormat="1" applyFont="1" applyFill="1" applyBorder="1" applyAlignment="1">
      <alignment horizontal="right"/>
    </xf>
    <xf numFmtId="0" fontId="72" fillId="2" borderId="0" xfId="0" applyFont="1" applyFill="1"/>
    <xf numFmtId="0" fontId="66" fillId="2" borderId="0" xfId="0" applyFont="1" applyFill="1" applyAlignment="1">
      <alignment horizontal="left"/>
    </xf>
    <xf numFmtId="0" fontId="14" fillId="0" borderId="7" xfId="0" applyFont="1" applyBorder="1" applyAlignment="1">
      <alignment horizontal="left" vertical="center" wrapText="1"/>
    </xf>
    <xf numFmtId="0" fontId="8" fillId="13" borderId="0" xfId="0" applyFont="1" applyFill="1" applyAlignment="1">
      <alignment horizontal="left" vertical="center"/>
    </xf>
    <xf numFmtId="3" fontId="13" fillId="0" borderId="0" xfId="0" applyNumberFormat="1" applyFont="1" applyAlignment="1">
      <alignment horizontal="center"/>
    </xf>
    <xf numFmtId="0" fontId="8" fillId="13" borderId="2" xfId="0" applyFont="1" applyFill="1" applyBorder="1" applyAlignment="1">
      <alignment horizontal="left"/>
    </xf>
    <xf numFmtId="170" fontId="11" fillId="0" borderId="2" xfId="0" applyNumberFormat="1" applyFont="1" applyBorder="1" applyAlignment="1">
      <alignment horizontal="right"/>
    </xf>
    <xf numFmtId="0" fontId="11" fillId="0" borderId="2" xfId="0" applyFont="1" applyBorder="1" applyAlignment="1">
      <alignment horizontal="left" indent="2"/>
    </xf>
    <xf numFmtId="170" fontId="11" fillId="2" borderId="0" xfId="4" applyNumberFormat="1" applyFont="1" applyFill="1" applyBorder="1" applyAlignment="1">
      <alignment horizontal="right"/>
    </xf>
    <xf numFmtId="3" fontId="10" fillId="0" borderId="0" xfId="0" applyNumberFormat="1" applyFont="1" applyAlignment="1">
      <alignment horizontal="center" wrapText="1"/>
    </xf>
    <xf numFmtId="0" fontId="14" fillId="2" borderId="0" xfId="0" applyFont="1" applyFill="1" applyAlignment="1">
      <alignment horizontal="left" indent="1"/>
    </xf>
    <xf numFmtId="9" fontId="10" fillId="0" borderId="0" xfId="0" quotePrefix="1" applyNumberFormat="1" applyFont="1" applyAlignment="1">
      <alignment horizontal="center" wrapText="1"/>
    </xf>
    <xf numFmtId="0" fontId="8" fillId="13" borderId="2" xfId="0" applyFont="1" applyFill="1" applyBorder="1" applyAlignment="1">
      <alignment horizontal="left" vertical="center"/>
    </xf>
    <xf numFmtId="0" fontId="19" fillId="2" borderId="7" xfId="0" applyFont="1" applyFill="1" applyBorder="1" applyAlignment="1">
      <alignment horizontal="left" vertical="center" wrapText="1"/>
    </xf>
    <xf numFmtId="0" fontId="40" fillId="7" borderId="0" xfId="0" applyFont="1" applyFill="1" applyAlignment="1">
      <alignment horizontal="left" vertical="center"/>
    </xf>
    <xf numFmtId="0" fontId="12" fillId="9" borderId="2" xfId="0" applyFont="1" applyFill="1" applyBorder="1" applyAlignment="1">
      <alignment horizontal="center"/>
    </xf>
    <xf numFmtId="0" fontId="16" fillId="2" borderId="2" xfId="0" applyFont="1" applyFill="1" applyBorder="1"/>
    <xf numFmtId="0" fontId="5" fillId="6" borderId="2" xfId="0" applyFont="1" applyFill="1" applyBorder="1"/>
    <xf numFmtId="170" fontId="5" fillId="2" borderId="2" xfId="0" applyNumberFormat="1" applyFont="1" applyFill="1" applyBorder="1" applyAlignment="1">
      <alignment horizontal="right"/>
    </xf>
    <xf numFmtId="10" fontId="5" fillId="2" borderId="2" xfId="3" applyNumberFormat="1" applyFont="1" applyFill="1" applyBorder="1" applyAlignment="1">
      <alignment horizontal="right"/>
    </xf>
    <xf numFmtId="0" fontId="52" fillId="2" borderId="2" xfId="0" applyFont="1" applyFill="1" applyBorder="1" applyAlignment="1">
      <alignment horizontal="left"/>
    </xf>
    <xf numFmtId="0" fontId="5" fillId="2" borderId="2" xfId="0" applyFont="1" applyFill="1" applyBorder="1" applyAlignment="1">
      <alignment horizontal="center" vertical="center"/>
    </xf>
    <xf numFmtId="0" fontId="12" fillId="0" borderId="0" xfId="0" applyFont="1" applyAlignment="1">
      <alignment horizontal="right" vertical="center"/>
    </xf>
    <xf numFmtId="0" fontId="10" fillId="3" borderId="0" xfId="0" applyFont="1" applyFill="1" applyAlignment="1">
      <alignment horizontal="left"/>
    </xf>
    <xf numFmtId="3" fontId="11" fillId="0" borderId="0" xfId="0" applyNumberFormat="1" applyFont="1" applyAlignment="1">
      <alignment horizontal="right" wrapText="1"/>
    </xf>
    <xf numFmtId="0" fontId="9" fillId="13" borderId="0" xfId="0" applyFont="1" applyFill="1" applyAlignment="1">
      <alignment horizontal="left" vertical="center"/>
    </xf>
    <xf numFmtId="0" fontId="9" fillId="13" borderId="0" xfId="0" applyFont="1" applyFill="1" applyAlignment="1">
      <alignment horizontal="center" vertical="center"/>
    </xf>
    <xf numFmtId="14" fontId="16" fillId="2" borderId="0" xfId="0" applyNumberFormat="1" applyFont="1" applyFill="1" applyAlignment="1">
      <alignment horizontal="center" vertical="center"/>
    </xf>
    <xf numFmtId="2" fontId="11" fillId="2" borderId="2" xfId="0" applyNumberFormat="1" applyFont="1" applyFill="1" applyBorder="1" applyAlignment="1">
      <alignment horizontal="right" wrapText="1"/>
    </xf>
    <xf numFmtId="2" fontId="5" fillId="2" borderId="2" xfId="0" applyNumberFormat="1" applyFont="1" applyFill="1" applyBorder="1" applyAlignment="1">
      <alignment horizontal="right"/>
    </xf>
    <xf numFmtId="2" fontId="5" fillId="0" borderId="2" xfId="0" applyNumberFormat="1" applyFont="1" applyBorder="1" applyAlignment="1">
      <alignment horizontal="right"/>
    </xf>
    <xf numFmtId="9" fontId="11" fillId="2" borderId="2" xfId="0" applyNumberFormat="1" applyFont="1" applyFill="1" applyBorder="1" applyAlignment="1">
      <alignment horizontal="right"/>
    </xf>
    <xf numFmtId="170" fontId="20" fillId="4" borderId="0" xfId="0" applyNumberFormat="1" applyFont="1" applyFill="1" applyAlignment="1">
      <alignment horizontal="left" vertical="center"/>
    </xf>
    <xf numFmtId="170" fontId="20" fillId="4" borderId="0" xfId="0" applyNumberFormat="1" applyFont="1" applyFill="1" applyAlignment="1">
      <alignment horizontal="right" vertical="center"/>
    </xf>
    <xf numFmtId="170" fontId="20" fillId="14" borderId="0" xfId="0" applyNumberFormat="1" applyFont="1" applyFill="1" applyAlignment="1">
      <alignment horizontal="left" vertical="center"/>
    </xf>
    <xf numFmtId="170" fontId="20" fillId="14" borderId="0" xfId="0" applyNumberFormat="1" applyFont="1" applyFill="1" applyAlignment="1">
      <alignment horizontal="right" vertical="center"/>
    </xf>
    <xf numFmtId="175" fontId="20" fillId="14" borderId="0" xfId="0" applyNumberFormat="1" applyFont="1" applyFill="1" applyAlignment="1">
      <alignment horizontal="right" vertical="center"/>
    </xf>
    <xf numFmtId="3" fontId="11" fillId="2" borderId="0" xfId="0" applyNumberFormat="1" applyFont="1" applyFill="1" applyAlignment="1">
      <alignment horizontal="right"/>
    </xf>
    <xf numFmtId="170" fontId="11" fillId="9" borderId="2" xfId="0" applyNumberFormat="1" applyFont="1" applyFill="1" applyBorder="1" applyAlignment="1">
      <alignment horizontal="center"/>
    </xf>
    <xf numFmtId="170" fontId="5" fillId="9" borderId="2" xfId="0" applyNumberFormat="1" applyFont="1" applyFill="1" applyBorder="1" applyAlignment="1">
      <alignment horizontal="center"/>
    </xf>
    <xf numFmtId="3" fontId="5" fillId="2" borderId="0" xfId="0" applyNumberFormat="1" applyFont="1" applyFill="1" applyAlignment="1">
      <alignment horizontal="right"/>
    </xf>
    <xf numFmtId="3" fontId="5" fillId="0" borderId="0" xfId="0" applyNumberFormat="1" applyFont="1" applyAlignment="1">
      <alignment horizontal="right"/>
    </xf>
    <xf numFmtId="3" fontId="5" fillId="0" borderId="2" xfId="0" applyNumberFormat="1" applyFont="1" applyBorder="1" applyAlignment="1">
      <alignment horizontal="right" wrapText="1"/>
    </xf>
    <xf numFmtId="0" fontId="10" fillId="2" borderId="0" xfId="0" applyFont="1" applyFill="1" applyAlignment="1">
      <alignment horizontal="left" vertical="center"/>
    </xf>
    <xf numFmtId="0" fontId="11" fillId="0" borderId="0" xfId="0" applyFont="1" applyAlignment="1">
      <alignment vertical="center"/>
    </xf>
    <xf numFmtId="0" fontId="11" fillId="2" borderId="0" xfId="0" applyFont="1" applyFill="1" applyAlignment="1">
      <alignment vertical="center" wrapText="1"/>
    </xf>
    <xf numFmtId="0" fontId="10" fillId="2" borderId="0" xfId="0" applyFont="1" applyFill="1" applyAlignment="1">
      <alignment vertical="center"/>
    </xf>
    <xf numFmtId="166" fontId="20" fillId="4" borderId="0" xfId="3" applyNumberFormat="1" applyFont="1" applyFill="1" applyAlignment="1">
      <alignment horizontal="center" vertical="center"/>
    </xf>
    <xf numFmtId="10" fontId="20" fillId="4" borderId="0" xfId="3" applyNumberFormat="1" applyFont="1" applyFill="1" applyAlignment="1">
      <alignment horizontal="center" vertical="center"/>
    </xf>
    <xf numFmtId="166" fontId="20" fillId="4" borderId="0" xfId="3" applyNumberFormat="1" applyFont="1" applyFill="1" applyAlignment="1">
      <alignment horizontal="center" vertical="center" wrapText="1"/>
    </xf>
    <xf numFmtId="0" fontId="6" fillId="7" borderId="0" xfId="0" applyFont="1" applyFill="1" applyAlignment="1">
      <alignment horizontal="right" vertical="center"/>
    </xf>
    <xf numFmtId="4" fontId="10" fillId="9" borderId="2" xfId="0" applyNumberFormat="1" applyFont="1" applyFill="1" applyBorder="1" applyAlignment="1">
      <alignment horizontal="center" wrapText="1"/>
    </xf>
    <xf numFmtId="0" fontId="11" fillId="2" borderId="3" xfId="0" applyFont="1" applyFill="1" applyBorder="1" applyAlignment="1">
      <alignment horizontal="left" indent="1"/>
    </xf>
    <xf numFmtId="3" fontId="5" fillId="2" borderId="0" xfId="0" quotePrefix="1" applyNumberFormat="1" applyFont="1" applyFill="1" applyAlignment="1">
      <alignment horizontal="right"/>
    </xf>
    <xf numFmtId="0" fontId="6" fillId="7" borderId="0" xfId="0" applyFont="1" applyFill="1" applyAlignment="1">
      <alignment horizontal="left" vertical="center"/>
    </xf>
    <xf numFmtId="0" fontId="15" fillId="4" borderId="2" xfId="0" applyFont="1" applyFill="1" applyBorder="1" applyAlignment="1">
      <alignment horizontal="center"/>
    </xf>
    <xf numFmtId="3" fontId="11" fillId="0" borderId="2" xfId="0" applyNumberFormat="1" applyFont="1" applyBorder="1" applyAlignment="1">
      <alignment horizontal="center"/>
    </xf>
    <xf numFmtId="0" fontId="11" fillId="0" borderId="2" xfId="0" applyFont="1" applyBorder="1" applyAlignment="1">
      <alignment horizontal="center"/>
    </xf>
    <xf numFmtId="0" fontId="10" fillId="0" borderId="2" xfId="0" applyFont="1" applyBorder="1" applyAlignment="1">
      <alignment horizontal="center" vertical="center"/>
    </xf>
    <xf numFmtId="0" fontId="11" fillId="0" borderId="2" xfId="0" applyFont="1" applyBorder="1" applyAlignment="1">
      <alignment horizontal="center" vertical="center"/>
    </xf>
    <xf numFmtId="166" fontId="11" fillId="0" borderId="2" xfId="3" applyNumberFormat="1" applyFont="1" applyFill="1" applyBorder="1" applyAlignment="1">
      <alignment horizontal="center"/>
    </xf>
    <xf numFmtId="9" fontId="11" fillId="0" borderId="2" xfId="3" applyFont="1" applyFill="1" applyBorder="1" applyAlignment="1">
      <alignment horizontal="center"/>
    </xf>
    <xf numFmtId="9" fontId="11" fillId="0" borderId="2" xfId="0" applyNumberFormat="1" applyFont="1" applyBorder="1" applyAlignment="1">
      <alignment horizontal="center"/>
    </xf>
    <xf numFmtId="1" fontId="11" fillId="0" borderId="2" xfId="0" applyNumberFormat="1" applyFont="1" applyBorder="1" applyAlignment="1">
      <alignment horizontal="center"/>
    </xf>
    <xf numFmtId="1" fontId="11" fillId="0" borderId="2" xfId="3" applyNumberFormat="1" applyFont="1" applyFill="1" applyBorder="1" applyAlignment="1">
      <alignment horizontal="center"/>
    </xf>
    <xf numFmtId="166" fontId="11" fillId="0" borderId="2" xfId="0" quotePrefix="1" applyNumberFormat="1" applyFont="1" applyBorder="1" applyAlignment="1">
      <alignment horizontal="center"/>
    </xf>
    <xf numFmtId="1" fontId="11" fillId="0" borderId="2" xfId="4" applyNumberFormat="1" applyFont="1" applyFill="1" applyBorder="1" applyAlignment="1">
      <alignment horizontal="center"/>
    </xf>
    <xf numFmtId="0" fontId="5" fillId="0" borderId="2" xfId="0" applyFont="1" applyBorder="1" applyAlignment="1">
      <alignment horizontal="center"/>
    </xf>
    <xf numFmtId="3" fontId="5" fillId="0" borderId="2" xfId="0" applyNumberFormat="1" applyFont="1" applyBorder="1" applyAlignment="1">
      <alignment horizontal="center"/>
    </xf>
    <xf numFmtId="166" fontId="11" fillId="0" borderId="2" xfId="0" applyNumberFormat="1" applyFont="1" applyBorder="1" applyAlignment="1">
      <alignment horizontal="center"/>
    </xf>
    <xf numFmtId="1" fontId="11" fillId="0" borderId="2" xfId="0" quotePrefix="1" applyNumberFormat="1" applyFont="1" applyBorder="1" applyAlignment="1">
      <alignment horizontal="center"/>
    </xf>
    <xf numFmtId="1" fontId="11" fillId="0" borderId="2" xfId="0" applyNumberFormat="1" applyFont="1" applyBorder="1" applyAlignment="1">
      <alignment horizontal="center" wrapText="1"/>
    </xf>
    <xf numFmtId="3" fontId="11" fillId="0" borderId="2" xfId="0" quotePrefix="1" applyNumberFormat="1" applyFont="1" applyBorder="1" applyAlignment="1">
      <alignment horizontal="center"/>
    </xf>
    <xf numFmtId="166" fontId="11" fillId="0" borderId="2" xfId="3" quotePrefix="1" applyNumberFormat="1" applyFont="1" applyFill="1" applyBorder="1" applyAlignment="1">
      <alignment horizontal="center"/>
    </xf>
    <xf numFmtId="166" fontId="5" fillId="0" borderId="2" xfId="0" applyNumberFormat="1" applyFont="1" applyBorder="1" applyAlignment="1">
      <alignment horizontal="center"/>
    </xf>
    <xf numFmtId="9" fontId="5" fillId="0" borderId="2" xfId="0" applyNumberFormat="1" applyFont="1" applyBorder="1" applyAlignment="1">
      <alignment horizontal="center"/>
    </xf>
    <xf numFmtId="166" fontId="5" fillId="0" borderId="2" xfId="3" applyNumberFormat="1" applyFont="1" applyFill="1" applyBorder="1" applyAlignment="1">
      <alignment horizontal="center"/>
    </xf>
    <xf numFmtId="0" fontId="76" fillId="7" borderId="0" xfId="0" applyFont="1" applyFill="1" applyAlignment="1">
      <alignment vertical="center"/>
    </xf>
    <xf numFmtId="166" fontId="5" fillId="0" borderId="0" xfId="0" quotePrefix="1" applyNumberFormat="1" applyFont="1" applyAlignment="1">
      <alignment horizontal="center"/>
    </xf>
    <xf numFmtId="0" fontId="5" fillId="0" borderId="0" xfId="0" applyFont="1" applyAlignment="1">
      <alignment horizontal="center"/>
    </xf>
    <xf numFmtId="3" fontId="5" fillId="0" borderId="0" xfId="0" applyNumberFormat="1" applyFont="1" applyAlignment="1">
      <alignment horizontal="center"/>
    </xf>
    <xf numFmtId="166" fontId="5" fillId="2" borderId="2" xfId="0" applyNumberFormat="1" applyFont="1" applyFill="1" applyBorder="1" applyAlignment="1">
      <alignment horizontal="center" vertical="center"/>
    </xf>
    <xf numFmtId="166" fontId="5" fillId="2" borderId="2" xfId="0" quotePrefix="1" applyNumberFormat="1" applyFont="1" applyFill="1" applyBorder="1" applyAlignment="1">
      <alignment horizontal="center" vertical="center"/>
    </xf>
    <xf numFmtId="0" fontId="5" fillId="2" borderId="3" xfId="0" applyFont="1" applyFill="1" applyBorder="1" applyAlignment="1">
      <alignment horizontal="center" vertical="center"/>
    </xf>
    <xf numFmtId="1" fontId="5" fillId="2" borderId="3" xfId="0" applyNumberFormat="1" applyFont="1" applyFill="1" applyBorder="1" applyAlignment="1">
      <alignment horizontal="center" vertical="center"/>
    </xf>
    <xf numFmtId="3" fontId="5" fillId="0" borderId="2" xfId="0" quotePrefix="1" applyNumberFormat="1" applyFont="1" applyBorder="1" applyAlignment="1">
      <alignment horizontal="center"/>
    </xf>
    <xf numFmtId="9" fontId="5" fillId="0" borderId="2" xfId="3" applyFont="1" applyFill="1" applyBorder="1" applyAlignment="1">
      <alignment horizontal="center"/>
    </xf>
    <xf numFmtId="166" fontId="5" fillId="0" borderId="2" xfId="3" quotePrefix="1" applyNumberFormat="1" applyFont="1" applyFill="1" applyBorder="1" applyAlignment="1">
      <alignment horizontal="center"/>
    </xf>
    <xf numFmtId="0" fontId="5" fillId="0" borderId="2" xfId="0" quotePrefix="1" applyFont="1" applyBorder="1" applyAlignment="1">
      <alignment horizontal="center"/>
    </xf>
    <xf numFmtId="166" fontId="5" fillId="0" borderId="2" xfId="0" quotePrefix="1" applyNumberFormat="1" applyFont="1" applyBorder="1" applyAlignment="1">
      <alignment horizontal="center"/>
    </xf>
    <xf numFmtId="1" fontId="5" fillId="0" borderId="2" xfId="0" quotePrefix="1" applyNumberFormat="1" applyFont="1" applyBorder="1" applyAlignment="1">
      <alignment horizontal="center"/>
    </xf>
    <xf numFmtId="1" fontId="5" fillId="0" borderId="2" xfId="0" applyNumberFormat="1" applyFont="1" applyBorder="1" applyAlignment="1">
      <alignment horizontal="center"/>
    </xf>
    <xf numFmtId="9" fontId="5" fillId="0" borderId="2" xfId="3" quotePrefix="1" applyFont="1" applyFill="1" applyBorder="1" applyAlignment="1">
      <alignment horizontal="center"/>
    </xf>
    <xf numFmtId="9" fontId="5" fillId="0" borderId="2" xfId="0" quotePrefix="1" applyNumberFormat="1" applyFont="1" applyBorder="1" applyAlignment="1">
      <alignment horizontal="center"/>
    </xf>
    <xf numFmtId="0" fontId="5" fillId="0" borderId="0" xfId="0" quotePrefix="1" applyFont="1" applyAlignment="1">
      <alignment horizontal="center"/>
    </xf>
    <xf numFmtId="3" fontId="5" fillId="0" borderId="0" xfId="0" quotePrefix="1" applyNumberFormat="1" applyFont="1" applyAlignment="1">
      <alignment horizontal="center"/>
    </xf>
    <xf numFmtId="0" fontId="5" fillId="0" borderId="2" xfId="0" applyFont="1" applyBorder="1" applyAlignment="1">
      <alignment horizontal="center" wrapText="1"/>
    </xf>
    <xf numFmtId="166" fontId="19" fillId="2" borderId="4" xfId="0" applyNumberFormat="1" applyFont="1" applyFill="1" applyBorder="1" applyAlignment="1">
      <alignment horizontal="center" vertical="center"/>
    </xf>
    <xf numFmtId="0" fontId="19" fillId="2" borderId="4" xfId="0" applyFont="1" applyFill="1" applyBorder="1" applyAlignment="1">
      <alignment horizontal="center" vertical="center"/>
    </xf>
    <xf numFmtId="166" fontId="19" fillId="2" borderId="0" xfId="0" applyNumberFormat="1" applyFont="1" applyFill="1" applyAlignment="1">
      <alignment horizontal="center"/>
    </xf>
    <xf numFmtId="9" fontId="19" fillId="2" borderId="0" xfId="0" applyNumberFormat="1" applyFont="1" applyFill="1" applyAlignment="1">
      <alignment horizontal="center"/>
    </xf>
    <xf numFmtId="166" fontId="19" fillId="2" borderId="0" xfId="0" applyNumberFormat="1" applyFont="1" applyFill="1" applyAlignment="1">
      <alignment horizontal="center" vertical="center"/>
    </xf>
    <xf numFmtId="9" fontId="19" fillId="2" borderId="0" xfId="0" applyNumberFormat="1" applyFont="1" applyFill="1" applyAlignment="1">
      <alignment horizontal="center" vertical="center"/>
    </xf>
    <xf numFmtId="0" fontId="19" fillId="4" borderId="4" xfId="0" applyFont="1" applyFill="1" applyBorder="1" applyAlignment="1">
      <alignment horizontal="center" vertical="center"/>
    </xf>
    <xf numFmtId="0" fontId="19" fillId="4" borderId="2" xfId="0" applyFont="1" applyFill="1" applyBorder="1" applyAlignment="1">
      <alignment horizontal="center" vertical="center"/>
    </xf>
    <xf numFmtId="0" fontId="19" fillId="4" borderId="3" xfId="0" applyFont="1" applyFill="1" applyBorder="1" applyAlignment="1">
      <alignment horizontal="center"/>
    </xf>
    <xf numFmtId="10" fontId="5" fillId="2" borderId="2" xfId="0" applyNumberFormat="1" applyFont="1" applyFill="1" applyBorder="1" applyAlignment="1">
      <alignment horizontal="center" vertical="center"/>
    </xf>
    <xf numFmtId="0" fontId="5" fillId="0" borderId="2" xfId="0" applyFont="1" applyBorder="1" applyAlignment="1">
      <alignment horizontal="center" vertical="center"/>
    </xf>
    <xf numFmtId="9" fontId="19" fillId="4" borderId="0" xfId="0" applyNumberFormat="1" applyFont="1" applyFill="1" applyAlignment="1">
      <alignment horizontal="center" vertical="center"/>
    </xf>
    <xf numFmtId="9" fontId="5" fillId="2" borderId="0" xfId="0" applyNumberFormat="1" applyFont="1" applyFill="1" applyAlignment="1">
      <alignment horizontal="center" vertical="center"/>
    </xf>
    <xf numFmtId="0" fontId="19" fillId="4" borderId="0" xfId="0" applyFont="1" applyFill="1" applyAlignment="1">
      <alignment horizontal="right" vertical="center"/>
    </xf>
    <xf numFmtId="0" fontId="19" fillId="0" borderId="2" xfId="0" applyFont="1" applyBorder="1" applyAlignment="1">
      <alignment horizontal="center"/>
    </xf>
    <xf numFmtId="166" fontId="19" fillId="0" borderId="2" xfId="0" applyNumberFormat="1" applyFont="1" applyBorder="1" applyAlignment="1">
      <alignment horizontal="center"/>
    </xf>
    <xf numFmtId="9" fontId="19" fillId="0" borderId="2" xfId="3" applyFont="1" applyFill="1" applyBorder="1" applyAlignment="1">
      <alignment horizontal="center"/>
    </xf>
    <xf numFmtId="9" fontId="19" fillId="0" borderId="2" xfId="0" applyNumberFormat="1" applyFont="1" applyBorder="1" applyAlignment="1">
      <alignment horizontal="center"/>
    </xf>
    <xf numFmtId="0" fontId="11" fillId="0" borderId="2" xfId="0" quotePrefix="1" applyFont="1" applyBorder="1" applyAlignment="1">
      <alignment horizontal="center"/>
    </xf>
    <xf numFmtId="0" fontId="11" fillId="0" borderId="2" xfId="0" applyFont="1" applyBorder="1" applyAlignment="1">
      <alignment horizontal="center" wrapText="1"/>
    </xf>
    <xf numFmtId="9" fontId="11" fillId="0" borderId="2" xfId="3" quotePrefix="1" applyFont="1" applyFill="1" applyBorder="1" applyAlignment="1">
      <alignment horizontal="center"/>
    </xf>
    <xf numFmtId="166" fontId="15" fillId="9" borderId="2" xfId="0" quotePrefix="1" applyNumberFormat="1" applyFont="1" applyFill="1" applyBorder="1" applyAlignment="1">
      <alignment horizontal="center"/>
    </xf>
    <xf numFmtId="0" fontId="15" fillId="9" borderId="2" xfId="0" quotePrefix="1" applyFont="1" applyFill="1" applyBorder="1" applyAlignment="1">
      <alignment horizontal="center"/>
    </xf>
    <xf numFmtId="166" fontId="15" fillId="9" borderId="2" xfId="3" applyNumberFormat="1" applyFont="1" applyFill="1" applyBorder="1" applyAlignment="1">
      <alignment horizontal="center"/>
    </xf>
    <xf numFmtId="0" fontId="15" fillId="9" borderId="2" xfId="0" applyFont="1" applyFill="1" applyBorder="1" applyAlignment="1">
      <alignment horizontal="center" wrapText="1"/>
    </xf>
    <xf numFmtId="0" fontId="15" fillId="9" borderId="2" xfId="0" applyFont="1" applyFill="1" applyBorder="1" applyAlignment="1">
      <alignment horizontal="right" wrapText="1"/>
    </xf>
    <xf numFmtId="0" fontId="15" fillId="9" borderId="2" xfId="0" applyFont="1" applyFill="1" applyBorder="1" applyAlignment="1">
      <alignment horizontal="right"/>
    </xf>
    <xf numFmtId="3" fontId="15" fillId="9" borderId="2" xfId="0" applyNumberFormat="1" applyFont="1" applyFill="1" applyBorder="1" applyAlignment="1">
      <alignment horizontal="center"/>
    </xf>
    <xf numFmtId="3" fontId="15" fillId="9" borderId="2" xfId="0" quotePrefix="1" applyNumberFormat="1" applyFont="1" applyFill="1" applyBorder="1" applyAlignment="1">
      <alignment horizontal="center"/>
    </xf>
    <xf numFmtId="166" fontId="15" fillId="9" borderId="2" xfId="3" quotePrefix="1" applyNumberFormat="1" applyFont="1" applyFill="1" applyBorder="1" applyAlignment="1">
      <alignment horizontal="center"/>
    </xf>
    <xf numFmtId="1" fontId="15" fillId="9" borderId="2" xfId="0" quotePrefix="1" applyNumberFormat="1" applyFont="1" applyFill="1" applyBorder="1" applyAlignment="1">
      <alignment horizontal="center"/>
    </xf>
    <xf numFmtId="1" fontId="15" fillId="9" borderId="2" xfId="0" applyNumberFormat="1" applyFont="1" applyFill="1" applyBorder="1" applyAlignment="1">
      <alignment horizontal="center"/>
    </xf>
    <xf numFmtId="9" fontId="15" fillId="9" borderId="2" xfId="0" quotePrefix="1" applyNumberFormat="1" applyFont="1" applyFill="1" applyBorder="1" applyAlignment="1">
      <alignment horizontal="center"/>
    </xf>
    <xf numFmtId="0" fontId="15" fillId="9" borderId="0" xfId="0" quotePrefix="1" applyFont="1" applyFill="1" applyAlignment="1">
      <alignment horizontal="center"/>
    </xf>
    <xf numFmtId="3" fontId="15" fillId="9" borderId="0" xfId="0" quotePrefix="1" applyNumberFormat="1" applyFont="1" applyFill="1" applyAlignment="1">
      <alignment horizontal="center"/>
    </xf>
    <xf numFmtId="3" fontId="15" fillId="9" borderId="0" xfId="0" applyNumberFormat="1" applyFont="1" applyFill="1" applyAlignment="1">
      <alignment horizontal="center"/>
    </xf>
    <xf numFmtId="0" fontId="15" fillId="2" borderId="2" xfId="0" applyFont="1" applyFill="1" applyBorder="1" applyAlignment="1">
      <alignment horizontal="center" vertical="center"/>
    </xf>
    <xf numFmtId="1" fontId="15" fillId="9" borderId="2" xfId="3" applyNumberFormat="1" applyFont="1" applyFill="1" applyBorder="1" applyAlignment="1">
      <alignment horizontal="center"/>
    </xf>
    <xf numFmtId="1" fontId="15" fillId="9" borderId="2" xfId="4" applyNumberFormat="1" applyFont="1" applyFill="1" applyBorder="1" applyAlignment="1">
      <alignment horizontal="center"/>
    </xf>
    <xf numFmtId="1" fontId="15" fillId="9" borderId="2" xfId="0" applyNumberFormat="1" applyFont="1" applyFill="1" applyBorder="1" applyAlignment="1">
      <alignment horizontal="center" wrapText="1"/>
    </xf>
    <xf numFmtId="0" fontId="13" fillId="9" borderId="2" xfId="0" applyFont="1" applyFill="1" applyBorder="1" applyAlignment="1">
      <alignment horizontal="center"/>
    </xf>
    <xf numFmtId="166" fontId="13" fillId="9" borderId="2" xfId="0" applyNumberFormat="1" applyFont="1" applyFill="1" applyBorder="1" applyAlignment="1">
      <alignment horizontal="center"/>
    </xf>
    <xf numFmtId="9" fontId="13" fillId="9" borderId="2" xfId="3" applyFont="1" applyFill="1" applyBorder="1" applyAlignment="1">
      <alignment horizontal="center"/>
    </xf>
    <xf numFmtId="1" fontId="13" fillId="9" borderId="2" xfId="0" quotePrefix="1" applyNumberFormat="1" applyFont="1" applyFill="1" applyBorder="1" applyAlignment="1">
      <alignment horizontal="center"/>
    </xf>
    <xf numFmtId="3" fontId="13" fillId="9" borderId="2" xfId="0" quotePrefix="1" applyNumberFormat="1" applyFont="1" applyFill="1" applyBorder="1" applyAlignment="1">
      <alignment horizontal="center"/>
    </xf>
    <xf numFmtId="3" fontId="13" fillId="10" borderId="2" xfId="0" applyNumberFormat="1" applyFont="1" applyFill="1" applyBorder="1" applyAlignment="1">
      <alignment horizontal="center"/>
    </xf>
    <xf numFmtId="1" fontId="13" fillId="10" borderId="2" xfId="0" applyNumberFormat="1" applyFont="1" applyFill="1" applyBorder="1" applyAlignment="1">
      <alignment horizontal="center"/>
    </xf>
    <xf numFmtId="166" fontId="13" fillId="9" borderId="2" xfId="3" applyNumberFormat="1" applyFont="1" applyFill="1" applyBorder="1" applyAlignment="1">
      <alignment horizontal="center"/>
    </xf>
    <xf numFmtId="166" fontId="13" fillId="9" borderId="2" xfId="3" quotePrefix="1" applyNumberFormat="1" applyFont="1" applyFill="1" applyBorder="1" applyAlignment="1">
      <alignment horizontal="center"/>
    </xf>
    <xf numFmtId="166" fontId="13" fillId="10" borderId="2" xfId="3" applyNumberFormat="1" applyFont="1" applyFill="1" applyBorder="1" applyAlignment="1">
      <alignment horizontal="center"/>
    </xf>
    <xf numFmtId="9" fontId="11" fillId="0" borderId="2" xfId="3" applyFont="1" applyBorder="1" applyAlignment="1">
      <alignment horizontal="center"/>
    </xf>
    <xf numFmtId="166" fontId="5" fillId="2" borderId="0" xfId="0" applyNumberFormat="1" applyFont="1" applyFill="1" applyAlignment="1">
      <alignment horizontal="center" vertical="center"/>
    </xf>
    <xf numFmtId="165" fontId="11" fillId="2" borderId="0" xfId="0" applyNumberFormat="1" applyFont="1" applyFill="1" applyAlignment="1">
      <alignment horizontal="center" vertical="center"/>
    </xf>
    <xf numFmtId="3" fontId="11" fillId="4" borderId="2" xfId="0" applyNumberFormat="1" applyFont="1" applyFill="1" applyBorder="1" applyAlignment="1">
      <alignment horizontal="left"/>
    </xf>
    <xf numFmtId="177" fontId="5" fillId="9" borderId="2" xfId="3" applyNumberFormat="1" applyFont="1" applyFill="1" applyBorder="1" applyAlignment="1">
      <alignment horizontal="center"/>
    </xf>
    <xf numFmtId="3" fontId="11" fillId="2" borderId="0" xfId="0" applyNumberFormat="1" applyFont="1" applyFill="1" applyAlignment="1">
      <alignment horizontal="left" vertical="center"/>
    </xf>
    <xf numFmtId="0" fontId="52" fillId="2" borderId="0" xfId="0" applyFont="1" applyFill="1" applyAlignment="1">
      <alignment horizontal="left" vertical="top" wrapText="1"/>
    </xf>
    <xf numFmtId="170" fontId="5" fillId="2" borderId="0" xfId="0" applyNumberFormat="1" applyFont="1" applyFill="1" applyAlignment="1">
      <alignment horizontal="center" vertical="center"/>
    </xf>
    <xf numFmtId="170" fontId="20" fillId="4" borderId="12" xfId="0" applyNumberFormat="1" applyFont="1" applyFill="1" applyBorder="1" applyAlignment="1">
      <alignment horizontal="right" vertical="center"/>
    </xf>
    <xf numFmtId="170" fontId="20" fillId="4" borderId="12" xfId="0" applyNumberFormat="1" applyFont="1" applyFill="1" applyBorder="1" applyAlignment="1">
      <alignment horizontal="left" vertical="center"/>
    </xf>
    <xf numFmtId="1" fontId="20" fillId="4" borderId="12" xfId="0" applyNumberFormat="1" applyFont="1" applyFill="1" applyBorder="1" applyAlignment="1">
      <alignment horizontal="left" vertical="center"/>
    </xf>
    <xf numFmtId="10" fontId="20" fillId="4" borderId="12" xfId="0" applyNumberFormat="1" applyFont="1" applyFill="1" applyBorder="1" applyAlignment="1">
      <alignment horizontal="left" vertical="center"/>
    </xf>
    <xf numFmtId="176" fontId="5" fillId="9" borderId="2" xfId="3" applyNumberFormat="1" applyFont="1" applyFill="1" applyBorder="1" applyAlignment="1">
      <alignment horizontal="center"/>
    </xf>
    <xf numFmtId="0" fontId="78" fillId="2" borderId="2" xfId="0" applyFont="1" applyFill="1" applyBorder="1" applyAlignment="1">
      <alignment horizontal="left"/>
    </xf>
    <xf numFmtId="1" fontId="11" fillId="2" borderId="2" xfId="0" quotePrefix="1" applyNumberFormat="1" applyFont="1" applyFill="1" applyBorder="1" applyAlignment="1">
      <alignment horizontal="right"/>
    </xf>
    <xf numFmtId="3" fontId="10" fillId="9" borderId="2" xfId="0" applyNumberFormat="1" applyFont="1" applyFill="1" applyBorder="1" applyAlignment="1">
      <alignment horizontal="center" wrapText="1"/>
    </xf>
    <xf numFmtId="0" fontId="52" fillId="2" borderId="0" xfId="0" applyFont="1" applyFill="1" applyAlignment="1">
      <alignment horizontal="left"/>
    </xf>
    <xf numFmtId="0" fontId="11" fillId="2" borderId="0" xfId="0" applyFont="1" applyFill="1" applyAlignment="1">
      <alignment horizontal="left" indent="1"/>
    </xf>
    <xf numFmtId="0" fontId="13" fillId="9" borderId="0" xfId="0" applyFont="1" applyFill="1" applyAlignment="1">
      <alignment horizontal="center"/>
    </xf>
    <xf numFmtId="0" fontId="11" fillId="0" borderId="0" xfId="0" applyFont="1" applyAlignment="1">
      <alignment horizontal="center"/>
    </xf>
    <xf numFmtId="3" fontId="10" fillId="9" borderId="2" xfId="0" applyNumberFormat="1" applyFont="1" applyFill="1" applyBorder="1" applyAlignment="1">
      <alignment horizontal="center" vertical="center"/>
    </xf>
    <xf numFmtId="170" fontId="10" fillId="9" borderId="2" xfId="4" applyNumberFormat="1" applyFont="1" applyFill="1" applyBorder="1" applyAlignment="1">
      <alignment horizontal="center" vertical="center"/>
    </xf>
    <xf numFmtId="3" fontId="15" fillId="9" borderId="2" xfId="0" applyNumberFormat="1" applyFont="1" applyFill="1" applyBorder="1" applyAlignment="1">
      <alignment horizontal="center" vertical="center"/>
    </xf>
    <xf numFmtId="0" fontId="15" fillId="9" borderId="2" xfId="0" applyFont="1" applyFill="1" applyBorder="1" applyAlignment="1">
      <alignment horizontal="center" vertical="center"/>
    </xf>
    <xf numFmtId="0" fontId="12" fillId="9" borderId="2" xfId="0" applyFont="1" applyFill="1" applyBorder="1" applyAlignment="1">
      <alignment horizontal="center" vertical="center"/>
    </xf>
    <xf numFmtId="10" fontId="10" fillId="9" borderId="2" xfId="0" applyNumberFormat="1" applyFont="1" applyFill="1" applyBorder="1" applyAlignment="1">
      <alignment horizontal="center" vertical="center"/>
    </xf>
    <xf numFmtId="10" fontId="10" fillId="9" borderId="0" xfId="0" applyNumberFormat="1" applyFont="1" applyFill="1" applyAlignment="1">
      <alignment horizontal="center" vertical="center"/>
    </xf>
    <xf numFmtId="3" fontId="10" fillId="9" borderId="2" xfId="9" applyNumberFormat="1" applyFont="1" applyFill="1" applyBorder="1" applyAlignment="1">
      <alignment horizontal="center" vertical="center"/>
    </xf>
    <xf numFmtId="9" fontId="15" fillId="9" borderId="2" xfId="0" applyNumberFormat="1" applyFont="1" applyFill="1" applyBorder="1" applyAlignment="1">
      <alignment horizontal="center" vertical="center"/>
    </xf>
    <xf numFmtId="166" fontId="10" fillId="9" borderId="2" xfId="0" applyNumberFormat="1" applyFont="1" applyFill="1" applyBorder="1" applyAlignment="1">
      <alignment horizontal="center" vertical="center"/>
    </xf>
    <xf numFmtId="3" fontId="10" fillId="9" borderId="2" xfId="0" applyNumberFormat="1" applyFont="1" applyFill="1" applyBorder="1" applyAlignment="1">
      <alignment horizontal="center"/>
    </xf>
    <xf numFmtId="9" fontId="10" fillId="9" borderId="2" xfId="0" applyNumberFormat="1" applyFont="1" applyFill="1" applyBorder="1" applyAlignment="1">
      <alignment horizontal="center"/>
    </xf>
    <xf numFmtId="9" fontId="10" fillId="9" borderId="3" xfId="0" applyNumberFormat="1" applyFont="1" applyFill="1" applyBorder="1" applyAlignment="1">
      <alignment horizontal="center"/>
    </xf>
    <xf numFmtId="10" fontId="10" fillId="9" borderId="2" xfId="0" applyNumberFormat="1" applyFont="1" applyFill="1" applyBorder="1" applyAlignment="1">
      <alignment horizontal="center"/>
    </xf>
    <xf numFmtId="0" fontId="15" fillId="10" borderId="2" xfId="0" applyFont="1" applyFill="1" applyBorder="1" applyAlignment="1">
      <alignment horizontal="center"/>
    </xf>
    <xf numFmtId="0" fontId="5" fillId="2" borderId="2" xfId="0" applyFont="1" applyFill="1" applyBorder="1" applyAlignment="1">
      <alignment horizontal="center"/>
    </xf>
    <xf numFmtId="1" fontId="5" fillId="2" borderId="2" xfId="0" quotePrefix="1" applyNumberFormat="1" applyFont="1" applyFill="1" applyBorder="1" applyAlignment="1">
      <alignment horizontal="right"/>
    </xf>
    <xf numFmtId="9" fontId="11" fillId="0" borderId="2" xfId="0" quotePrefix="1" applyNumberFormat="1" applyFont="1" applyBorder="1" applyAlignment="1">
      <alignment horizontal="right" wrapText="1"/>
    </xf>
    <xf numFmtId="3" fontId="10" fillId="0" borderId="0" xfId="0" quotePrefix="1" applyNumberFormat="1" applyFont="1" applyAlignment="1">
      <alignment horizontal="right" wrapText="1"/>
    </xf>
    <xf numFmtId="3" fontId="11" fillId="9" borderId="2" xfId="0" applyNumberFormat="1" applyFont="1" applyFill="1" applyBorder="1" applyAlignment="1">
      <alignment horizontal="center" wrapText="1"/>
    </xf>
    <xf numFmtId="3" fontId="10" fillId="10" borderId="2" xfId="0" applyNumberFormat="1" applyFont="1" applyFill="1" applyBorder="1" applyAlignment="1">
      <alignment horizontal="left"/>
    </xf>
    <xf numFmtId="0" fontId="10" fillId="10" borderId="2" xfId="0" applyFont="1" applyFill="1" applyBorder="1" applyAlignment="1">
      <alignment horizontal="left"/>
    </xf>
    <xf numFmtId="3" fontId="10" fillId="9" borderId="2" xfId="0" quotePrefix="1" applyNumberFormat="1" applyFont="1" applyFill="1" applyBorder="1" applyAlignment="1">
      <alignment horizontal="center" wrapText="1"/>
    </xf>
    <xf numFmtId="0" fontId="10" fillId="9" borderId="2" xfId="0" applyFont="1" applyFill="1" applyBorder="1" applyAlignment="1">
      <alignment horizontal="left"/>
    </xf>
    <xf numFmtId="0" fontId="81" fillId="10" borderId="2" xfId="0" applyFont="1" applyFill="1" applyBorder="1" applyAlignment="1">
      <alignment horizontal="left"/>
    </xf>
    <xf numFmtId="9" fontId="11" fillId="0" borderId="2" xfId="0" applyNumberFormat="1" applyFont="1" applyBorder="1" applyAlignment="1">
      <alignment horizontal="right"/>
    </xf>
    <xf numFmtId="0" fontId="25" fillId="10" borderId="2" xfId="0" applyFont="1" applyFill="1" applyBorder="1" applyAlignment="1">
      <alignment horizontal="left"/>
    </xf>
    <xf numFmtId="9" fontId="10" fillId="9" borderId="2" xfId="0" quotePrefix="1" applyNumberFormat="1" applyFont="1" applyFill="1" applyBorder="1" applyAlignment="1">
      <alignment horizontal="center" wrapText="1"/>
    </xf>
    <xf numFmtId="0" fontId="82" fillId="10" borderId="2" xfId="0" applyFont="1" applyFill="1" applyBorder="1" applyAlignment="1">
      <alignment horizontal="left"/>
    </xf>
    <xf numFmtId="0" fontId="83" fillId="10" borderId="2" xfId="0" applyFont="1" applyFill="1" applyBorder="1" applyAlignment="1">
      <alignment horizontal="left"/>
    </xf>
    <xf numFmtId="9" fontId="11" fillId="0" borderId="2" xfId="3" quotePrefix="1" applyFont="1" applyFill="1" applyBorder="1" applyAlignment="1">
      <alignment horizontal="right" wrapText="1"/>
    </xf>
    <xf numFmtId="9" fontId="10" fillId="2" borderId="0" xfId="3" quotePrefix="1" applyFont="1" applyFill="1" applyBorder="1" applyAlignment="1">
      <alignment horizontal="right" wrapText="1"/>
    </xf>
    <xf numFmtId="166" fontId="11" fillId="0" borderId="2" xfId="0" applyNumberFormat="1" applyFont="1" applyBorder="1" applyAlignment="1">
      <alignment horizontal="right"/>
    </xf>
    <xf numFmtId="2" fontId="11" fillId="0" borderId="2" xfId="0" applyNumberFormat="1" applyFont="1" applyBorder="1" applyAlignment="1">
      <alignment horizontal="right"/>
    </xf>
    <xf numFmtId="165" fontId="11" fillId="0" borderId="2" xfId="0" applyNumberFormat="1" applyFont="1" applyBorder="1" applyAlignment="1">
      <alignment horizontal="right"/>
    </xf>
    <xf numFmtId="9" fontId="11" fillId="0" borderId="2" xfId="3" applyFont="1" applyFill="1" applyBorder="1" applyAlignment="1">
      <alignment horizontal="right" wrapText="1"/>
    </xf>
    <xf numFmtId="9" fontId="5" fillId="0" borderId="2" xfId="3" applyFont="1" applyFill="1" applyBorder="1" applyAlignment="1">
      <alignment horizontal="right"/>
    </xf>
    <xf numFmtId="166" fontId="11" fillId="0" borderId="2" xfId="3" applyNumberFormat="1" applyFont="1" applyFill="1" applyBorder="1" applyAlignment="1">
      <alignment horizontal="right"/>
    </xf>
    <xf numFmtId="0" fontId="19" fillId="0" borderId="2" xfId="0" applyFont="1" applyBorder="1" applyAlignment="1">
      <alignment horizontal="right"/>
    </xf>
    <xf numFmtId="0" fontId="11" fillId="0" borderId="2" xfId="0" applyFont="1" applyBorder="1" applyAlignment="1">
      <alignment horizontal="right" vertical="center"/>
    </xf>
    <xf numFmtId="166" fontId="10" fillId="9" borderId="2" xfId="0" applyNumberFormat="1" applyFont="1" applyFill="1" applyBorder="1" applyAlignment="1">
      <alignment horizontal="center"/>
    </xf>
    <xf numFmtId="168" fontId="10" fillId="9" borderId="2" xfId="0" applyNumberFormat="1" applyFont="1" applyFill="1" applyBorder="1" applyAlignment="1">
      <alignment horizontal="center" wrapText="1"/>
    </xf>
    <xf numFmtId="0" fontId="10" fillId="9" borderId="2" xfId="0" applyFont="1" applyFill="1" applyBorder="1" applyAlignment="1">
      <alignment horizontal="center" wrapText="1"/>
    </xf>
    <xf numFmtId="0" fontId="10" fillId="9" borderId="2" xfId="0" applyFont="1" applyFill="1" applyBorder="1" applyAlignment="1">
      <alignment horizontal="left" wrapText="1"/>
    </xf>
    <xf numFmtId="165" fontId="10" fillId="9" borderId="2" xfId="0" applyNumberFormat="1" applyFont="1" applyFill="1" applyBorder="1" applyAlignment="1">
      <alignment horizontal="center"/>
    </xf>
    <xf numFmtId="3" fontId="10" fillId="10" borderId="2" xfId="0" applyNumberFormat="1" applyFont="1" applyFill="1" applyBorder="1" applyAlignment="1">
      <alignment horizontal="center"/>
    </xf>
    <xf numFmtId="166" fontId="10" fillId="10" borderId="2" xfId="3" applyNumberFormat="1" applyFont="1" applyFill="1" applyBorder="1" applyAlignment="1">
      <alignment horizontal="center"/>
    </xf>
    <xf numFmtId="0" fontId="15" fillId="10" borderId="2" xfId="0" applyFont="1" applyFill="1" applyBorder="1" applyAlignment="1">
      <alignment horizontal="left"/>
    </xf>
    <xf numFmtId="9" fontId="10" fillId="10" borderId="2" xfId="0" applyNumberFormat="1" applyFont="1" applyFill="1" applyBorder="1" applyAlignment="1">
      <alignment horizontal="center"/>
    </xf>
    <xf numFmtId="166" fontId="10" fillId="10" borderId="2" xfId="0" applyNumberFormat="1" applyFont="1" applyFill="1" applyBorder="1" applyAlignment="1">
      <alignment horizontal="center"/>
    </xf>
    <xf numFmtId="9" fontId="11" fillId="0" borderId="2" xfId="3" applyFont="1" applyFill="1" applyBorder="1" applyAlignment="1">
      <alignment horizontal="right"/>
    </xf>
    <xf numFmtId="166" fontId="11" fillId="0" borderId="2" xfId="3" applyNumberFormat="1" applyFont="1" applyFill="1" applyBorder="1" applyAlignment="1">
      <alignment horizontal="right" wrapText="1"/>
    </xf>
    <xf numFmtId="169" fontId="11" fillId="0" borderId="2" xfId="0" applyNumberFormat="1" applyFont="1" applyBorder="1" applyAlignment="1">
      <alignment horizontal="right"/>
    </xf>
    <xf numFmtId="0" fontId="14" fillId="0" borderId="2" xfId="0" applyFont="1" applyBorder="1" applyAlignment="1">
      <alignment horizontal="right"/>
    </xf>
    <xf numFmtId="170" fontId="5" fillId="2" borderId="0" xfId="0" applyNumberFormat="1" applyFont="1" applyFill="1" applyAlignment="1">
      <alignment horizontal="right" vertical="center"/>
    </xf>
    <xf numFmtId="0" fontId="80" fillId="2" borderId="0" xfId="0" applyFont="1" applyFill="1" applyAlignment="1">
      <alignment horizontal="right"/>
    </xf>
    <xf numFmtId="9" fontId="10" fillId="9" borderId="2" xfId="3" applyFont="1" applyFill="1" applyBorder="1" applyAlignment="1">
      <alignment horizontal="center" wrapText="1"/>
    </xf>
    <xf numFmtId="166" fontId="10" fillId="9" borderId="2" xfId="3" applyNumberFormat="1" applyFont="1" applyFill="1" applyBorder="1" applyAlignment="1">
      <alignment horizontal="center" wrapText="1"/>
    </xf>
    <xf numFmtId="169" fontId="10" fillId="9" borderId="2" xfId="0" applyNumberFormat="1" applyFont="1" applyFill="1" applyBorder="1" applyAlignment="1">
      <alignment horizontal="center"/>
    </xf>
    <xf numFmtId="0" fontId="14" fillId="10" borderId="2" xfId="0" applyFont="1" applyFill="1" applyBorder="1" applyAlignment="1">
      <alignment horizontal="left"/>
    </xf>
    <xf numFmtId="0" fontId="12" fillId="10" borderId="2" xfId="0" applyFont="1" applyFill="1" applyBorder="1" applyAlignment="1">
      <alignment horizontal="left"/>
    </xf>
    <xf numFmtId="0" fontId="10" fillId="0" borderId="2" xfId="0" applyFont="1" applyBorder="1" applyAlignment="1">
      <alignment horizontal="right"/>
    </xf>
    <xf numFmtId="4" fontId="11" fillId="0" borderId="2" xfId="0" applyNumberFormat="1" applyFont="1" applyBorder="1" applyAlignment="1">
      <alignment horizontal="right" wrapText="1"/>
    </xf>
    <xf numFmtId="3" fontId="10" fillId="9" borderId="2" xfId="0" applyNumberFormat="1" applyFont="1" applyFill="1" applyBorder="1" applyAlignment="1">
      <alignment horizontal="center" vertical="center" wrapText="1"/>
    </xf>
    <xf numFmtId="165" fontId="11" fillId="0" borderId="2" xfId="0" quotePrefix="1" applyNumberFormat="1" applyFont="1" applyBorder="1" applyAlignment="1">
      <alignment horizontal="right" wrapText="1"/>
    </xf>
    <xf numFmtId="2" fontId="5" fillId="0" borderId="2" xfId="0" applyNumberFormat="1" applyFont="1" applyBorder="1" applyAlignment="1">
      <alignment horizontal="right" wrapText="1"/>
    </xf>
    <xf numFmtId="168" fontId="11" fillId="0" borderId="2" xfId="0" applyNumberFormat="1" applyFont="1" applyBorder="1" applyAlignment="1">
      <alignment horizontal="right" wrapText="1"/>
    </xf>
    <xf numFmtId="1" fontId="11" fillId="0" borderId="2" xfId="0" applyNumberFormat="1" applyFont="1" applyBorder="1" applyAlignment="1">
      <alignment horizontal="right" wrapText="1"/>
    </xf>
    <xf numFmtId="3" fontId="11" fillId="0" borderId="2" xfId="0" quotePrefix="1" applyNumberFormat="1" applyFont="1" applyBorder="1" applyAlignment="1">
      <alignment horizontal="right" vertical="center" wrapText="1"/>
    </xf>
    <xf numFmtId="3" fontId="11" fillId="2" borderId="2" xfId="0" applyNumberFormat="1" applyFont="1" applyFill="1" applyBorder="1" applyAlignment="1">
      <alignment horizontal="right" vertical="center"/>
    </xf>
    <xf numFmtId="3" fontId="11" fillId="2" borderId="2" xfId="0" applyNumberFormat="1" applyFont="1" applyFill="1" applyBorder="1" applyAlignment="1">
      <alignment horizontal="right" vertical="center" wrapText="1"/>
    </xf>
    <xf numFmtId="1" fontId="11" fillId="2" borderId="2" xfId="0" applyNumberFormat="1" applyFont="1" applyFill="1" applyBorder="1" applyAlignment="1">
      <alignment horizontal="right" vertical="center" wrapText="1"/>
    </xf>
    <xf numFmtId="1" fontId="11" fillId="0" borderId="2" xfId="0" applyNumberFormat="1" applyFont="1" applyBorder="1" applyAlignment="1">
      <alignment horizontal="right"/>
    </xf>
    <xf numFmtId="0" fontId="5" fillId="9" borderId="2" xfId="0" applyFont="1" applyFill="1" applyBorder="1" applyAlignment="1">
      <alignment horizontal="left" wrapText="1"/>
    </xf>
    <xf numFmtId="0" fontId="11" fillId="9" borderId="2" xfId="0" applyFont="1" applyFill="1" applyBorder="1" applyAlignment="1">
      <alignment horizontal="center" wrapText="1"/>
    </xf>
    <xf numFmtId="0" fontId="13" fillId="2" borderId="2" xfId="0" applyFont="1" applyFill="1" applyBorder="1" applyAlignment="1">
      <alignment horizontal="right" wrapText="1"/>
    </xf>
    <xf numFmtId="0" fontId="9" fillId="13" borderId="0" xfId="0" applyFont="1" applyFill="1" applyAlignment="1">
      <alignment horizontal="right" vertical="center"/>
    </xf>
    <xf numFmtId="170" fontId="11" fillId="0" borderId="2" xfId="4" applyNumberFormat="1" applyFont="1" applyFill="1" applyBorder="1" applyAlignment="1">
      <alignment horizontal="right" vertical="center"/>
    </xf>
    <xf numFmtId="170" fontId="11" fillId="2" borderId="2" xfId="4" applyNumberFormat="1" applyFont="1" applyFill="1" applyBorder="1" applyAlignment="1">
      <alignment horizontal="right" vertical="center"/>
    </xf>
    <xf numFmtId="3" fontId="11" fillId="4" borderId="2" xfId="0" applyNumberFormat="1" applyFont="1" applyFill="1" applyBorder="1" applyAlignment="1">
      <alignment horizontal="right" vertical="center"/>
    </xf>
    <xf numFmtId="0" fontId="5" fillId="0" borderId="2" xfId="0" applyFont="1" applyBorder="1" applyAlignment="1">
      <alignment horizontal="right" vertical="center" wrapText="1"/>
    </xf>
    <xf numFmtId="9" fontId="5" fillId="0" borderId="2" xfId="3" applyFont="1" applyFill="1" applyBorder="1" applyAlignment="1">
      <alignment horizontal="right" vertical="center"/>
    </xf>
    <xf numFmtId="9" fontId="5" fillId="2" borderId="2" xfId="3" applyFont="1" applyFill="1" applyBorder="1" applyAlignment="1">
      <alignment horizontal="right" vertical="center"/>
    </xf>
    <xf numFmtId="9" fontId="5" fillId="2" borderId="2" xfId="0" applyNumberFormat="1" applyFont="1" applyFill="1" applyBorder="1" applyAlignment="1">
      <alignment horizontal="right" vertical="center"/>
    </xf>
    <xf numFmtId="10" fontId="11" fillId="2" borderId="2" xfId="0" applyNumberFormat="1" applyFont="1" applyFill="1" applyBorder="1" applyAlignment="1">
      <alignment horizontal="right" vertical="center"/>
    </xf>
    <xf numFmtId="10" fontId="5" fillId="0" borderId="2" xfId="3" applyNumberFormat="1" applyFont="1" applyFill="1" applyBorder="1" applyAlignment="1">
      <alignment horizontal="right" vertical="center"/>
    </xf>
    <xf numFmtId="10" fontId="5" fillId="2" borderId="2" xfId="0" quotePrefix="1" applyNumberFormat="1" applyFont="1" applyFill="1" applyBorder="1" applyAlignment="1">
      <alignment horizontal="right" vertical="center"/>
    </xf>
    <xf numFmtId="0" fontId="5" fillId="2" borderId="2" xfId="0" quotePrefix="1" applyFont="1" applyFill="1" applyBorder="1" applyAlignment="1">
      <alignment horizontal="right" vertical="center"/>
    </xf>
    <xf numFmtId="3" fontId="5" fillId="2" borderId="2" xfId="0" quotePrefix="1" applyNumberFormat="1" applyFont="1" applyFill="1" applyBorder="1" applyAlignment="1">
      <alignment horizontal="right" vertical="center"/>
    </xf>
    <xf numFmtId="1" fontId="5" fillId="0" borderId="2" xfId="0" applyNumberFormat="1" applyFont="1" applyBorder="1" applyAlignment="1">
      <alignment horizontal="right"/>
    </xf>
    <xf numFmtId="9" fontId="5" fillId="0" borderId="3" xfId="0" applyNumberFormat="1" applyFont="1" applyBorder="1" applyAlignment="1">
      <alignment horizontal="right"/>
    </xf>
    <xf numFmtId="9" fontId="5" fillId="2" borderId="3" xfId="0" applyNumberFormat="1" applyFont="1" applyFill="1" applyBorder="1" applyAlignment="1">
      <alignment horizontal="right"/>
    </xf>
    <xf numFmtId="10" fontId="5" fillId="0" borderId="2" xfId="3" applyNumberFormat="1" applyFont="1" applyFill="1" applyBorder="1" applyAlignment="1">
      <alignment horizontal="right"/>
    </xf>
    <xf numFmtId="10" fontId="5" fillId="2" borderId="2" xfId="0" quotePrefix="1" applyNumberFormat="1" applyFont="1" applyFill="1" applyBorder="1" applyAlignment="1">
      <alignment horizontal="right"/>
    </xf>
    <xf numFmtId="10" fontId="5" fillId="2" borderId="2" xfId="0" applyNumberFormat="1" applyFont="1" applyFill="1" applyBorder="1" applyAlignment="1">
      <alignment horizontal="right"/>
    </xf>
    <xf numFmtId="10" fontId="5" fillId="0" borderId="2" xfId="0" applyNumberFormat="1" applyFont="1" applyBorder="1" applyAlignment="1">
      <alignment horizontal="right"/>
    </xf>
    <xf numFmtId="176" fontId="5" fillId="2" borderId="2" xfId="0" quotePrefix="1" applyNumberFormat="1" applyFont="1" applyFill="1" applyBorder="1" applyAlignment="1">
      <alignment horizontal="right"/>
    </xf>
    <xf numFmtId="0" fontId="9" fillId="8" borderId="0" xfId="0" applyFont="1" applyFill="1" applyAlignment="1">
      <alignment horizontal="right" vertical="center"/>
    </xf>
    <xf numFmtId="0" fontId="15" fillId="0" borderId="2" xfId="0" applyFont="1" applyBorder="1" applyAlignment="1">
      <alignment horizontal="right"/>
    </xf>
    <xf numFmtId="169" fontId="11" fillId="2" borderId="2" xfId="4" quotePrefix="1" applyNumberFormat="1" applyFont="1" applyFill="1" applyBorder="1" applyAlignment="1">
      <alignment horizontal="right" wrapText="1"/>
    </xf>
    <xf numFmtId="0" fontId="5" fillId="2" borderId="2" xfId="0" quotePrefix="1" applyFont="1" applyFill="1" applyBorder="1" applyAlignment="1">
      <alignment horizontal="right"/>
    </xf>
    <xf numFmtId="166" fontId="5" fillId="2" borderId="2" xfId="3" quotePrefix="1" applyNumberFormat="1" applyFont="1" applyFill="1" applyBorder="1" applyAlignment="1">
      <alignment horizontal="right"/>
    </xf>
    <xf numFmtId="0" fontId="8" fillId="7" borderId="0" xfId="0" applyFont="1" applyFill="1" applyAlignment="1">
      <alignment horizontal="left" vertical="center"/>
    </xf>
    <xf numFmtId="0" fontId="8" fillId="2" borderId="0" xfId="0" applyFont="1" applyFill="1" applyAlignment="1">
      <alignment horizontal="left" vertical="center"/>
    </xf>
    <xf numFmtId="0" fontId="55" fillId="2" borderId="0" xfId="0" applyFont="1" applyFill="1" applyAlignment="1">
      <alignment horizontal="left" vertical="center" wrapText="1"/>
    </xf>
    <xf numFmtId="0" fontId="57" fillId="2" borderId="0" xfId="0" applyFont="1" applyFill="1" applyAlignment="1">
      <alignment horizontal="left" vertical="center"/>
    </xf>
    <xf numFmtId="0" fontId="56" fillId="0" borderId="0" xfId="0" applyFont="1" applyAlignment="1">
      <alignment horizontal="left" wrapText="1"/>
    </xf>
    <xf numFmtId="0" fontId="56" fillId="0" borderId="0" xfId="0" applyFont="1" applyAlignment="1">
      <alignment horizontal="left"/>
    </xf>
    <xf numFmtId="0" fontId="54" fillId="2" borderId="0" xfId="0" applyFont="1" applyFill="1" applyAlignment="1">
      <alignment horizontal="left" vertical="center" wrapText="1"/>
    </xf>
    <xf numFmtId="0" fontId="45" fillId="0" borderId="0" xfId="0" applyFont="1" applyAlignment="1">
      <alignment horizontal="left"/>
    </xf>
    <xf numFmtId="0" fontId="0" fillId="0" borderId="0" xfId="0" applyAlignment="1">
      <alignment horizontal="center"/>
    </xf>
    <xf numFmtId="0" fontId="46" fillId="11" borderId="0" xfId="0" applyFont="1" applyFill="1" applyAlignment="1">
      <alignment horizontal="center" vertical="center"/>
    </xf>
    <xf numFmtId="0" fontId="56" fillId="0" borderId="0" xfId="0" applyFont="1" applyAlignment="1">
      <alignment wrapText="1"/>
    </xf>
    <xf numFmtId="0" fontId="6" fillId="13" borderId="0" xfId="0" applyFont="1" applyFill="1" applyAlignment="1">
      <alignment horizontal="left" vertical="center"/>
    </xf>
    <xf numFmtId="0" fontId="52" fillId="2" borderId="3" xfId="0" applyFont="1" applyFill="1" applyBorder="1" applyAlignment="1">
      <alignment horizontal="left" wrapText="1"/>
    </xf>
    <xf numFmtId="0" fontId="6" fillId="7" borderId="0" xfId="0" applyFont="1" applyFill="1" applyAlignment="1">
      <alignment horizontal="left" vertical="center"/>
    </xf>
    <xf numFmtId="0" fontId="52" fillId="2" borderId="0" xfId="0" applyFont="1" applyFill="1" applyAlignment="1">
      <alignment horizontal="left" wrapText="1"/>
    </xf>
    <xf numFmtId="0" fontId="6" fillId="7" borderId="0" xfId="0" applyFont="1" applyFill="1" applyAlignment="1">
      <alignment horizontal="right" vertical="center"/>
    </xf>
    <xf numFmtId="0" fontId="6" fillId="7" borderId="0" xfId="0" applyFont="1" applyFill="1" applyAlignment="1">
      <alignment horizontal="center" vertical="center"/>
    </xf>
    <xf numFmtId="0" fontId="5" fillId="2" borderId="2" xfId="0" applyFont="1" applyFill="1" applyBorder="1" applyAlignment="1">
      <alignment horizontal="right"/>
    </xf>
    <xf numFmtId="0" fontId="19" fillId="2" borderId="2" xfId="0" applyFont="1" applyFill="1" applyBorder="1" applyAlignment="1">
      <alignment horizontal="right"/>
    </xf>
    <xf numFmtId="0" fontId="9" fillId="7" borderId="0" xfId="0" applyFont="1" applyFill="1" applyAlignment="1">
      <alignment horizontal="right" vertical="center"/>
    </xf>
    <xf numFmtId="0" fontId="5" fillId="2" borderId="2" xfId="0" applyFont="1" applyFill="1" applyBorder="1" applyAlignment="1">
      <alignment horizontal="right" vertical="center"/>
    </xf>
    <xf numFmtId="1" fontId="19" fillId="2" borderId="2" xfId="0" applyNumberFormat="1" applyFont="1" applyFill="1" applyBorder="1" applyAlignment="1">
      <alignment horizontal="right"/>
    </xf>
    <xf numFmtId="0" fontId="11" fillId="0" borderId="2" xfId="0" applyFont="1" applyBorder="1" applyAlignment="1">
      <alignment horizontal="center"/>
    </xf>
    <xf numFmtId="166" fontId="5" fillId="0" borderId="2" xfId="0" applyNumberFormat="1" applyFont="1" applyBorder="1" applyAlignment="1">
      <alignment horizontal="center"/>
    </xf>
    <xf numFmtId="0" fontId="10" fillId="0" borderId="2" xfId="0" applyFont="1" applyBorder="1" applyAlignment="1">
      <alignment horizontal="center"/>
    </xf>
    <xf numFmtId="166" fontId="5" fillId="2" borderId="2" xfId="0" quotePrefix="1" applyNumberFormat="1" applyFont="1" applyFill="1" applyBorder="1" applyAlignment="1">
      <alignment horizontal="right"/>
    </xf>
    <xf numFmtId="0" fontId="0" fillId="0" borderId="2" xfId="0" applyBorder="1" applyAlignment="1">
      <alignment horizontal="right"/>
    </xf>
    <xf numFmtId="0" fontId="13" fillId="2" borderId="2" xfId="0" applyFont="1" applyFill="1" applyBorder="1" applyAlignment="1">
      <alignment horizontal="right"/>
    </xf>
    <xf numFmtId="0" fontId="5" fillId="0" borderId="2" xfId="0" applyFont="1" applyBorder="1" applyAlignment="1">
      <alignment horizontal="right"/>
    </xf>
    <xf numFmtId="0" fontId="9" fillId="7" borderId="0" xfId="0" applyFont="1" applyFill="1" applyAlignment="1">
      <alignment horizontal="center" vertical="center"/>
    </xf>
    <xf numFmtId="0" fontId="11" fillId="2" borderId="2" xfId="0" applyFont="1" applyFill="1" applyBorder="1" applyAlignment="1">
      <alignment horizontal="right"/>
    </xf>
    <xf numFmtId="0" fontId="52" fillId="2" borderId="3" xfId="0" applyFont="1" applyFill="1" applyBorder="1" applyAlignment="1">
      <alignment horizontal="left"/>
    </xf>
    <xf numFmtId="1" fontId="5" fillId="2" borderId="2" xfId="0" quotePrefix="1" applyNumberFormat="1" applyFont="1" applyFill="1" applyBorder="1" applyAlignment="1">
      <alignment horizontal="right"/>
    </xf>
    <xf numFmtId="0" fontId="51" fillId="2" borderId="3" xfId="0" applyFont="1" applyFill="1" applyBorder="1" applyAlignment="1">
      <alignment horizontal="left" wrapText="1"/>
    </xf>
    <xf numFmtId="3" fontId="11" fillId="2" borderId="2" xfId="0" applyNumberFormat="1" applyFont="1" applyFill="1" applyBorder="1" applyAlignment="1">
      <alignment horizontal="right"/>
    </xf>
    <xf numFmtId="3" fontId="11" fillId="0" borderId="2" xfId="0" applyNumberFormat="1" applyFont="1" applyBorder="1" applyAlignment="1">
      <alignment horizontal="center"/>
    </xf>
    <xf numFmtId="9" fontId="5" fillId="0" borderId="2" xfId="0" applyNumberFormat="1" applyFont="1" applyBorder="1" applyAlignment="1">
      <alignment horizontal="center"/>
    </xf>
    <xf numFmtId="166" fontId="5" fillId="0" borderId="2" xfId="3" applyNumberFormat="1" applyFont="1" applyFill="1" applyBorder="1" applyAlignment="1">
      <alignment horizontal="center"/>
    </xf>
    <xf numFmtId="0" fontId="5" fillId="0" borderId="2" xfId="0" applyFont="1" applyBorder="1" applyAlignment="1">
      <alignment horizontal="center"/>
    </xf>
    <xf numFmtId="1" fontId="5" fillId="0" borderId="2" xfId="0" quotePrefix="1" applyNumberFormat="1" applyFont="1" applyBorder="1" applyAlignment="1">
      <alignment horizontal="center"/>
    </xf>
    <xf numFmtId="3" fontId="5" fillId="0" borderId="2" xfId="0" applyNumberFormat="1" applyFont="1" applyBorder="1" applyAlignment="1">
      <alignment horizontal="center"/>
    </xf>
    <xf numFmtId="3" fontId="5" fillId="0" borderId="2" xfId="0" quotePrefix="1" applyNumberFormat="1" applyFont="1" applyBorder="1" applyAlignment="1">
      <alignment horizontal="center"/>
    </xf>
    <xf numFmtId="3" fontId="19" fillId="2" borderId="2" xfId="0" applyNumberFormat="1" applyFont="1" applyFill="1" applyBorder="1" applyAlignment="1">
      <alignment horizontal="right"/>
    </xf>
    <xf numFmtId="0" fontId="50" fillId="2" borderId="0" xfId="0" applyFont="1" applyFill="1" applyAlignment="1">
      <alignment horizontal="left" vertical="top" wrapText="1"/>
    </xf>
    <xf numFmtId="10" fontId="9" fillId="7" borderId="0" xfId="0" applyNumberFormat="1" applyFont="1" applyFill="1" applyAlignment="1">
      <alignment horizontal="center" vertical="center"/>
    </xf>
    <xf numFmtId="3" fontId="15" fillId="9" borderId="2" xfId="0" applyNumberFormat="1" applyFont="1" applyFill="1" applyBorder="1" applyAlignment="1">
      <alignment horizontal="center"/>
    </xf>
    <xf numFmtId="168" fontId="15" fillId="9" borderId="2" xfId="0" applyNumberFormat="1" applyFont="1" applyFill="1" applyBorder="1" applyAlignment="1">
      <alignment horizontal="center"/>
    </xf>
    <xf numFmtId="166" fontId="15" fillId="9" borderId="2" xfId="0" applyNumberFormat="1" applyFont="1" applyFill="1" applyBorder="1" applyAlignment="1">
      <alignment horizontal="center"/>
    </xf>
    <xf numFmtId="9" fontId="15" fillId="9" borderId="2" xfId="0" applyNumberFormat="1" applyFont="1" applyFill="1" applyBorder="1" applyAlignment="1">
      <alignment horizontal="center"/>
    </xf>
    <xf numFmtId="0" fontId="15" fillId="9" borderId="2" xfId="0" applyFont="1" applyFill="1" applyBorder="1" applyAlignment="1">
      <alignment horizontal="center"/>
    </xf>
    <xf numFmtId="166" fontId="15" fillId="9" borderId="2" xfId="3" applyNumberFormat="1" applyFont="1" applyFill="1" applyBorder="1" applyAlignment="1">
      <alignment horizontal="center"/>
    </xf>
    <xf numFmtId="1" fontId="15" fillId="9" borderId="2" xfId="0" quotePrefix="1" applyNumberFormat="1" applyFont="1" applyFill="1" applyBorder="1" applyAlignment="1">
      <alignment horizontal="center"/>
    </xf>
    <xf numFmtId="3" fontId="15" fillId="9" borderId="2" xfId="0" quotePrefix="1" applyNumberFormat="1" applyFont="1" applyFill="1" applyBorder="1" applyAlignment="1">
      <alignment horizontal="center"/>
    </xf>
    <xf numFmtId="0" fontId="10" fillId="9" borderId="2" xfId="0" applyFont="1" applyFill="1" applyBorder="1" applyAlignment="1">
      <alignment horizontal="center"/>
    </xf>
    <xf numFmtId="3" fontId="11" fillId="2" borderId="4" xfId="0" applyNumberFormat="1" applyFont="1" applyFill="1" applyBorder="1" applyAlignment="1">
      <alignment horizontal="right"/>
    </xf>
    <xf numFmtId="0" fontId="13" fillId="2" borderId="2" xfId="0" applyFont="1" applyFill="1" applyBorder="1" applyAlignment="1">
      <alignment horizontal="right" vertical="center"/>
    </xf>
    <xf numFmtId="0" fontId="60" fillId="2" borderId="0" xfId="0" applyFont="1" applyFill="1" applyAlignment="1">
      <alignment horizontal="left" vertical="top" wrapText="1"/>
    </xf>
    <xf numFmtId="9" fontId="5" fillId="0" borderId="2" xfId="3" applyFont="1" applyFill="1" applyBorder="1" applyAlignment="1">
      <alignment horizontal="center"/>
    </xf>
    <xf numFmtId="166" fontId="5" fillId="2" borderId="2" xfId="3" applyNumberFormat="1" applyFont="1" applyFill="1" applyBorder="1" applyAlignment="1">
      <alignment horizontal="right" wrapText="1"/>
    </xf>
    <xf numFmtId="9" fontId="19" fillId="4" borderId="2" xfId="0" applyNumberFormat="1" applyFont="1" applyFill="1" applyBorder="1" applyAlignment="1">
      <alignment horizontal="right"/>
    </xf>
    <xf numFmtId="166" fontId="5" fillId="0" borderId="2" xfId="0" applyNumberFormat="1" applyFont="1" applyBorder="1" applyAlignment="1">
      <alignment horizontal="right"/>
    </xf>
    <xf numFmtId="165" fontId="5" fillId="0" borderId="2" xfId="0" applyNumberFormat="1" applyFont="1" applyBorder="1" applyAlignment="1">
      <alignment horizontal="center"/>
    </xf>
    <xf numFmtId="166" fontId="5" fillId="2" borderId="2" xfId="3" applyNumberFormat="1" applyFont="1" applyFill="1" applyBorder="1" applyAlignment="1">
      <alignment horizontal="right"/>
    </xf>
    <xf numFmtId="166" fontId="5" fillId="2" borderId="2" xfId="0" applyNumberFormat="1" applyFont="1" applyFill="1" applyBorder="1" applyAlignment="1">
      <alignment horizontal="right"/>
    </xf>
    <xf numFmtId="166" fontId="11" fillId="2" borderId="2" xfId="3" applyNumberFormat="1" applyFont="1" applyFill="1" applyBorder="1" applyAlignment="1">
      <alignment horizontal="right"/>
    </xf>
    <xf numFmtId="9" fontId="11" fillId="2" borderId="2" xfId="3" applyFont="1" applyFill="1" applyBorder="1" applyAlignment="1">
      <alignment horizontal="right"/>
    </xf>
    <xf numFmtId="9" fontId="5" fillId="2" borderId="2" xfId="3" applyFont="1" applyFill="1" applyBorder="1" applyAlignment="1">
      <alignment horizontal="right" wrapText="1"/>
    </xf>
    <xf numFmtId="9" fontId="5" fillId="0" borderId="2" xfId="0" applyNumberFormat="1" applyFont="1" applyBorder="1" applyAlignment="1">
      <alignment horizontal="right"/>
    </xf>
    <xf numFmtId="166" fontId="5" fillId="2" borderId="2" xfId="6" applyNumberFormat="1" applyFont="1" applyFill="1" applyBorder="1" applyAlignment="1">
      <alignment horizontal="right"/>
    </xf>
    <xf numFmtId="9" fontId="5" fillId="2" borderId="2" xfId="0" applyNumberFormat="1" applyFont="1" applyFill="1" applyBorder="1" applyAlignment="1">
      <alignment horizontal="right"/>
    </xf>
    <xf numFmtId="9" fontId="5" fillId="2" borderId="2" xfId="6" applyFont="1" applyFill="1" applyBorder="1" applyAlignment="1">
      <alignment horizontal="right"/>
    </xf>
    <xf numFmtId="166" fontId="5" fillId="0" borderId="2" xfId="6" applyNumberFormat="1" applyFont="1" applyFill="1" applyBorder="1" applyAlignment="1">
      <alignment horizontal="right"/>
    </xf>
    <xf numFmtId="9" fontId="5" fillId="2" borderId="2" xfId="3" applyFont="1" applyFill="1" applyBorder="1" applyAlignment="1">
      <alignment horizontal="right"/>
    </xf>
    <xf numFmtId="0" fontId="5" fillId="0" borderId="2" xfId="0" quotePrefix="1" applyFont="1" applyBorder="1" applyAlignment="1">
      <alignment horizontal="center"/>
    </xf>
    <xf numFmtId="166" fontId="5" fillId="0" borderId="2" xfId="0" quotePrefix="1" applyNumberFormat="1" applyFont="1" applyBorder="1" applyAlignment="1">
      <alignment horizontal="center"/>
    </xf>
    <xf numFmtId="165" fontId="15" fillId="9" borderId="2" xfId="0" applyNumberFormat="1" applyFont="1" applyFill="1" applyBorder="1" applyAlignment="1">
      <alignment horizontal="center"/>
    </xf>
    <xf numFmtId="9" fontId="15" fillId="9" borderId="2" xfId="3" applyFont="1" applyFill="1" applyBorder="1" applyAlignment="1">
      <alignment horizontal="center"/>
    </xf>
    <xf numFmtId="0" fontId="15" fillId="9" borderId="2" xfId="0" quotePrefix="1" applyFont="1" applyFill="1" applyBorder="1" applyAlignment="1">
      <alignment horizontal="center"/>
    </xf>
    <xf numFmtId="166" fontId="15" fillId="9" borderId="2" xfId="0" quotePrefix="1" applyNumberFormat="1" applyFont="1" applyFill="1" applyBorder="1" applyAlignment="1">
      <alignment horizontal="center"/>
    </xf>
    <xf numFmtId="0" fontId="9" fillId="7" borderId="4" xfId="0" applyFont="1" applyFill="1" applyBorder="1" applyAlignment="1">
      <alignment horizontal="center" vertical="center"/>
    </xf>
    <xf numFmtId="0" fontId="9" fillId="7" borderId="4" xfId="0" applyFont="1" applyFill="1" applyBorder="1" applyAlignment="1">
      <alignment horizontal="right" vertical="center"/>
    </xf>
    <xf numFmtId="0" fontId="51" fillId="0" borderId="3" xfId="0" applyFont="1" applyBorder="1" applyAlignment="1">
      <alignment horizontal="left" wrapText="1"/>
    </xf>
    <xf numFmtId="166" fontId="19" fillId="4" borderId="2" xfId="0" applyNumberFormat="1" applyFont="1" applyFill="1" applyBorder="1" applyAlignment="1">
      <alignment horizontal="right"/>
    </xf>
    <xf numFmtId="0" fontId="19" fillId="4" borderId="2" xfId="0" applyFont="1" applyFill="1" applyBorder="1" applyAlignment="1">
      <alignment horizontal="right"/>
    </xf>
    <xf numFmtId="0" fontId="52" fillId="0" borderId="0" xfId="0" applyFont="1" applyAlignment="1">
      <alignment horizontal="left" vertical="top" wrapText="1"/>
    </xf>
    <xf numFmtId="10" fontId="9" fillId="7" borderId="4" xfId="0" applyNumberFormat="1" applyFont="1" applyFill="1" applyBorder="1" applyAlignment="1">
      <alignment horizontal="center" vertical="center"/>
    </xf>
    <xf numFmtId="0" fontId="13" fillId="2" borderId="0" xfId="0" applyFont="1" applyFill="1" applyAlignment="1">
      <alignment horizontal="left" vertical="top"/>
    </xf>
    <xf numFmtId="0" fontId="65" fillId="2" borderId="3" xfId="0" applyFont="1" applyFill="1" applyBorder="1" applyAlignment="1">
      <alignment horizontal="left" wrapText="1"/>
    </xf>
    <xf numFmtId="0" fontId="65" fillId="0" borderId="3" xfId="0" applyFont="1" applyBorder="1" applyAlignment="1">
      <alignment horizontal="left" wrapText="1"/>
    </xf>
    <xf numFmtId="0" fontId="25" fillId="4" borderId="0" xfId="0" applyFont="1" applyFill="1" applyAlignment="1">
      <alignment horizontal="left" vertical="top" wrapText="1"/>
    </xf>
    <xf numFmtId="0" fontId="20" fillId="4" borderId="0" xfId="0" applyFont="1" applyFill="1" applyAlignment="1">
      <alignment horizontal="left" vertical="top" wrapText="1"/>
    </xf>
    <xf numFmtId="0" fontId="16" fillId="2"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left" vertical="top"/>
    </xf>
    <xf numFmtId="0" fontId="52" fillId="0" borderId="3" xfId="0" applyFont="1" applyBorder="1" applyAlignment="1">
      <alignment horizontal="left" wrapText="1"/>
    </xf>
    <xf numFmtId="0" fontId="50" fillId="3" borderId="3" xfId="0" applyFont="1" applyFill="1" applyBorder="1" applyAlignment="1">
      <alignment horizontal="left" wrapText="1"/>
    </xf>
    <xf numFmtId="0" fontId="11" fillId="4" borderId="0" xfId="0" applyFont="1" applyFill="1" applyAlignment="1">
      <alignment horizontal="right"/>
    </xf>
    <xf numFmtId="0" fontId="50" fillId="4" borderId="0" xfId="0" applyFont="1" applyFill="1" applyAlignment="1">
      <alignment horizontal="left" wrapText="1"/>
    </xf>
    <xf numFmtId="0" fontId="50" fillId="2" borderId="3" xfId="0" applyFont="1" applyFill="1" applyBorder="1" applyAlignment="1">
      <alignment horizontal="left" wrapText="1"/>
    </xf>
    <xf numFmtId="0" fontId="50" fillId="4" borderId="3" xfId="0" applyFont="1" applyFill="1" applyBorder="1" applyAlignment="1">
      <alignment horizontal="left"/>
    </xf>
    <xf numFmtId="0" fontId="10" fillId="4" borderId="0" xfId="0" applyFont="1" applyFill="1" applyAlignment="1">
      <alignment horizontal="left" vertical="top"/>
    </xf>
    <xf numFmtId="0" fontId="50" fillId="4" borderId="3" xfId="0" applyFont="1" applyFill="1" applyBorder="1" applyAlignment="1">
      <alignment horizontal="left" wrapText="1"/>
    </xf>
    <xf numFmtId="0" fontId="70" fillId="0" borderId="0" xfId="0" applyFont="1" applyAlignment="1">
      <alignment horizontal="left" wrapText="1"/>
    </xf>
    <xf numFmtId="0" fontId="18" fillId="0" borderId="0" xfId="0" applyFont="1" applyAlignment="1">
      <alignment horizontal="left" wrapText="1"/>
    </xf>
    <xf numFmtId="0" fontId="69" fillId="2" borderId="0" xfId="0" applyFont="1" applyFill="1" applyAlignment="1">
      <alignment horizontal="left" wrapText="1"/>
    </xf>
    <xf numFmtId="0" fontId="69" fillId="0" borderId="0" xfId="0" applyFont="1" applyAlignment="1">
      <alignment horizontal="left" wrapText="1"/>
    </xf>
    <xf numFmtId="0" fontId="69" fillId="3" borderId="0" xfId="0" applyFont="1" applyFill="1" applyAlignment="1">
      <alignment horizontal="left" wrapText="1"/>
    </xf>
    <xf numFmtId="0" fontId="69" fillId="3" borderId="0" xfId="0" applyFont="1" applyFill="1" applyAlignment="1">
      <alignment horizontal="left"/>
    </xf>
    <xf numFmtId="0" fontId="69" fillId="0" borderId="0" xfId="0" quotePrefix="1" applyFont="1" applyAlignment="1">
      <alignment horizontal="left" wrapText="1"/>
    </xf>
    <xf numFmtId="0" fontId="69" fillId="3" borderId="3" xfId="0" applyFont="1" applyFill="1" applyBorder="1" applyAlignment="1">
      <alignment horizontal="left" wrapText="1"/>
    </xf>
    <xf numFmtId="0" fontId="69" fillId="3" borderId="3" xfId="0" quotePrefix="1" applyFont="1" applyFill="1" applyBorder="1" applyAlignment="1">
      <alignment horizontal="left" wrapText="1"/>
    </xf>
    <xf numFmtId="0" fontId="52" fillId="2" borderId="0" xfId="0" applyFont="1" applyFill="1" applyAlignment="1">
      <alignment horizontal="left" vertical="top" wrapText="1"/>
    </xf>
    <xf numFmtId="0" fontId="50" fillId="2" borderId="0" xfId="0" applyFont="1" applyFill="1" applyAlignment="1">
      <alignment horizontal="left" wrapText="1"/>
    </xf>
    <xf numFmtId="0" fontId="60" fillId="2" borderId="0" xfId="0" applyFont="1" applyFill="1" applyAlignment="1">
      <alignment horizontal="left" wrapText="1"/>
    </xf>
    <xf numFmtId="0" fontId="13" fillId="15" borderId="7" xfId="0" applyFont="1" applyFill="1" applyBorder="1" applyAlignment="1">
      <alignment horizontal="left" vertical="center" wrapText="1"/>
    </xf>
    <xf numFmtId="0" fontId="5" fillId="12" borderId="7" xfId="0" applyFont="1" applyFill="1" applyBorder="1" applyAlignment="1">
      <alignment horizontal="left" vertical="center" wrapText="1"/>
    </xf>
    <xf numFmtId="0" fontId="10" fillId="11" borderId="7" xfId="0" applyFont="1" applyFill="1" applyBorder="1" applyAlignment="1">
      <alignment horizontal="left" vertical="center"/>
    </xf>
    <xf numFmtId="0" fontId="64" fillId="13" borderId="7" xfId="0" applyFont="1" applyFill="1" applyBorder="1" applyAlignment="1">
      <alignment vertical="center"/>
    </xf>
    <xf numFmtId="0" fontId="13" fillId="15" borderId="8" xfId="0" applyFont="1" applyFill="1" applyBorder="1" applyAlignment="1">
      <alignment horizontal="left" vertical="center" wrapText="1"/>
    </xf>
    <xf numFmtId="0" fontId="13" fillId="15" borderId="9" xfId="0" applyFont="1" applyFill="1" applyBorder="1" applyAlignment="1">
      <alignment horizontal="left" vertical="center" wrapText="1"/>
    </xf>
    <xf numFmtId="0" fontId="13" fillId="15" borderId="11" xfId="0" applyFont="1" applyFill="1" applyBorder="1" applyAlignment="1">
      <alignment horizontal="left" vertical="center" wrapText="1"/>
    </xf>
    <xf numFmtId="0" fontId="64" fillId="13" borderId="7" xfId="0" applyFont="1" applyFill="1" applyBorder="1" applyAlignment="1">
      <alignment horizontal="left" vertical="center"/>
    </xf>
    <xf numFmtId="0" fontId="13" fillId="11" borderId="7" xfId="0" applyFont="1" applyFill="1" applyBorder="1" applyAlignment="1">
      <alignment horizontal="left" vertical="center" wrapText="1"/>
    </xf>
    <xf numFmtId="0" fontId="10" fillId="2" borderId="0" xfId="0" applyFont="1" applyFill="1" applyAlignment="1">
      <alignment horizontal="center" vertical="center"/>
    </xf>
    <xf numFmtId="0" fontId="10" fillId="15" borderId="7" xfId="0" applyFont="1" applyFill="1" applyBorder="1" applyAlignment="1">
      <alignment horizontal="left" vertical="center" wrapText="1"/>
    </xf>
  </cellXfs>
  <cellStyles count="10">
    <cellStyle name="Comma" xfId="4" builtinId="3"/>
    <cellStyle name="Comma 2" xfId="1" xr:uid="{00000000-0005-0000-0000-000000000000}"/>
    <cellStyle name="Comma 3" xfId="5" xr:uid="{0E125285-CDD9-433C-8CB3-29320F83AE88}"/>
    <cellStyle name="Currency" xfId="9" builtinId="4"/>
    <cellStyle name="Hyperlink" xfId="7" builtinId="8"/>
    <cellStyle name="Normal" xfId="0" builtinId="0"/>
    <cellStyle name="Normal 2" xfId="2" xr:uid="{1CF837BC-5D31-4456-B37C-0E0E7F73DAC7}"/>
    <cellStyle name="Normal 2 2" xfId="8" xr:uid="{D33DEB2B-E7B5-4261-A260-7AF9420BC113}"/>
    <cellStyle name="Percent" xfId="3" builtinId="5"/>
    <cellStyle name="Percent 2" xfId="6" xr:uid="{3F51A3DB-EE30-4472-B146-4D53573389EA}"/>
  </cellStyles>
  <dxfs count="5">
    <dxf>
      <font>
        <color rgb="FF9C0006"/>
      </font>
      <fill>
        <patternFill>
          <bgColor rgb="FFFFC7CE"/>
        </patternFill>
      </fill>
    </dxf>
    <dxf>
      <font>
        <color rgb="FF006100"/>
      </font>
      <fill>
        <patternFill>
          <bgColor rgb="FFC6EFCE"/>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s>
  <tableStyles count="0" defaultTableStyle="TableStyleMedium2" defaultPivotStyle="PivotStyleLight16"/>
  <colors>
    <mruColors>
      <color rgb="FFE7F9FF"/>
      <color rgb="FFFECEE0"/>
      <color rgb="FF74C044"/>
      <color rgb="FFEA0E8A"/>
      <color rgb="FF203764"/>
      <color rgb="FF0B98D4"/>
      <color rgb="FFFF834F"/>
      <color rgb="FF00245D"/>
      <color rgb="FFF7FD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PLUS_ES_Emissions"/><Relationship Id="rId13" Type="http://schemas.openxmlformats.org/officeDocument/2006/relationships/hyperlink" Target="http://[s1l12];/#Ausgrid_Environment" TargetMode="External"/><Relationship Id="rId18" Type="http://schemas.openxmlformats.org/officeDocument/2006/relationships/hyperlink" Target="https://www.ausgrid.com.au/cgs" TargetMode="External"/><Relationship Id="rId3" Type="http://schemas.openxmlformats.org/officeDocument/2006/relationships/hyperlink" Target="#Ausgrid_Group_Risk_and_Compliance"/><Relationship Id="rId21" Type="http://schemas.openxmlformats.org/officeDocument/2006/relationships/hyperlink" Target="#Ausgrid_Workforce"/><Relationship Id="rId7" Type="http://schemas.openxmlformats.org/officeDocument/2006/relationships/hyperlink" Target="#Ausgrid_Energy_and_Emissions"/><Relationship Id="rId12" Type="http://schemas.openxmlformats.org/officeDocument/2006/relationships/hyperlink" Target="#PLUS_ES_Environment"/><Relationship Id="rId17" Type="http://schemas.openxmlformats.org/officeDocument/2006/relationships/hyperlink" Target="https://ausgrid.com.au/GRIcontentindex" TargetMode="External"/><Relationship Id="rId2" Type="http://schemas.openxmlformats.org/officeDocument/2006/relationships/hyperlink" Target="#PLUS_ES_Business_Overview"/><Relationship Id="rId16" Type="http://schemas.openxmlformats.org/officeDocument/2006/relationships/hyperlink" Target="https://www.ausgrid.com.au/About-Us/Sustainability/Modern-Slavery" TargetMode="External"/><Relationship Id="rId20" Type="http://schemas.openxmlformats.org/officeDocument/2006/relationships/hyperlink" Target="#Ausgrid_Group_Workforce"/><Relationship Id="rId1" Type="http://schemas.openxmlformats.org/officeDocument/2006/relationships/hyperlink" Target="#'Ausgrid Business'!A1"/><Relationship Id="rId6" Type="http://schemas.openxmlformats.org/officeDocument/2006/relationships/hyperlink" Target="#Ausgrid_Group_Energy_and_Emissions"/><Relationship Id="rId11" Type="http://schemas.openxmlformats.org/officeDocument/2006/relationships/hyperlink" Target="#Ausgrid_Environment"/><Relationship Id="rId24" Type="http://schemas.openxmlformats.org/officeDocument/2006/relationships/hyperlink" Target="http://ausgrid.com.au/BusinessSustainabilityReview" TargetMode="External"/><Relationship Id="rId5" Type="http://schemas.openxmlformats.org/officeDocument/2006/relationships/hyperlink" Target="#Ausgrid_Power_Supplied"/><Relationship Id="rId15" Type="http://schemas.openxmlformats.org/officeDocument/2006/relationships/hyperlink" Target="#PLUS_ES_Health_and_Safety"/><Relationship Id="rId23" Type="http://schemas.openxmlformats.org/officeDocument/2006/relationships/image" Target="../media/image1.png"/><Relationship Id="rId10" Type="http://schemas.openxmlformats.org/officeDocument/2006/relationships/hyperlink" Target="#Ausgrid_Group_Environment"/><Relationship Id="rId19" Type="http://schemas.openxmlformats.org/officeDocument/2006/relationships/hyperlink" Target="https://www.ausgrid.com.au/About-Us/Sustainability" TargetMode="External"/><Relationship Id="rId4" Type="http://schemas.openxmlformats.org/officeDocument/2006/relationships/hyperlink" Target="#Ausgrid_Customer_Experience"/><Relationship Id="rId9" Type="http://schemas.openxmlformats.org/officeDocument/2006/relationships/hyperlink" Target="http://[s1l8];/#Ausgrid_Energy_and_Emissions" TargetMode="External"/><Relationship Id="rId14" Type="http://schemas.openxmlformats.org/officeDocument/2006/relationships/hyperlink" Target="#Ausgrid_Health_and_Safety"/><Relationship Id="rId22" Type="http://schemas.openxmlformats.org/officeDocument/2006/relationships/hyperlink" Target="#PLUS_ES_Workforce"/></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About_This_Workbook"/></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1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About_This_Workbook"/></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About_This_Workbook"/></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About_This_Workbook"/></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About_This_Workbook"/></Relationships>
</file>

<file path=xl/drawings/_rels/drawing1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8l0];/#Contents_Home"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About_This_Workbook"/></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About_This_Workbook"/></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About_This_Workbook"/></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About_This_Workbook"/></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About_This_Workbook"/></Relationships>
</file>

<file path=xl/drawings/_rels/drawing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About_This_Workbook"/></Relationships>
</file>

<file path=xl/drawings/drawing1.xml><?xml version="1.0" encoding="utf-8"?>
<xdr:wsDr xmlns:xdr="http://schemas.openxmlformats.org/drawingml/2006/spreadsheetDrawing" xmlns:a="http://schemas.openxmlformats.org/drawingml/2006/main">
  <xdr:twoCellAnchor editAs="absolute">
    <xdr:from>
      <xdr:col>1</xdr:col>
      <xdr:colOff>12545</xdr:colOff>
      <xdr:row>7</xdr:row>
      <xdr:rowOff>113564</xdr:rowOff>
    </xdr:from>
    <xdr:to>
      <xdr:col>5</xdr:col>
      <xdr:colOff>0</xdr:colOff>
      <xdr:row>7</xdr:row>
      <xdr:rowOff>353914</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6A2C8BBE-9FBD-4CB3-99C4-1C87CCA5D37E}"/>
            </a:ext>
          </a:extLst>
        </xdr:cNvPr>
        <xdr:cNvSpPr/>
      </xdr:nvSpPr>
      <xdr:spPr>
        <a:xfrm>
          <a:off x="309041" y="1911102"/>
          <a:ext cx="2416574" cy="234000"/>
        </a:xfrm>
        <a:prstGeom prst="rect">
          <a:avLst/>
        </a:prstGeom>
        <a:no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Business Overview</a:t>
          </a:r>
        </a:p>
      </xdr:txBody>
    </xdr:sp>
    <xdr:clientData/>
  </xdr:twoCellAnchor>
  <xdr:twoCellAnchor editAs="absolute">
    <xdr:from>
      <xdr:col>1</xdr:col>
      <xdr:colOff>12545</xdr:colOff>
      <xdr:row>7</xdr:row>
      <xdr:rowOff>478048</xdr:rowOff>
    </xdr:from>
    <xdr:to>
      <xdr:col>5</xdr:col>
      <xdr:colOff>0</xdr:colOff>
      <xdr:row>7</xdr:row>
      <xdr:rowOff>717152</xdr:rowOff>
    </xdr:to>
    <xdr:sp macro="" textlink="">
      <xdr:nvSpPr>
        <xdr:cNvPr id="5" name="Rectangle 4">
          <a:hlinkClick xmlns:r="http://schemas.openxmlformats.org/officeDocument/2006/relationships" r:id="rId2"/>
          <a:extLst>
            <a:ext uri="{FF2B5EF4-FFF2-40B4-BE49-F238E27FC236}">
              <a16:creationId xmlns:a16="http://schemas.microsoft.com/office/drawing/2014/main" id="{DFB43EED-2C57-43E7-AF8E-654C61B09D63}"/>
            </a:ext>
          </a:extLst>
        </xdr:cNvPr>
        <xdr:cNvSpPr/>
      </xdr:nvSpPr>
      <xdr:spPr>
        <a:xfrm>
          <a:off x="310995" y="2262398"/>
          <a:ext cx="2413155" cy="23275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Business Overview</a:t>
          </a:r>
        </a:p>
      </xdr:txBody>
    </xdr:sp>
    <xdr:clientData/>
  </xdr:twoCellAnchor>
  <xdr:twoCellAnchor>
    <xdr:from>
      <xdr:col>0</xdr:col>
      <xdr:colOff>236974</xdr:colOff>
      <xdr:row>7</xdr:row>
      <xdr:rowOff>844172</xdr:rowOff>
    </xdr:from>
    <xdr:to>
      <xdr:col>4</xdr:col>
      <xdr:colOff>551178</xdr:colOff>
      <xdr:row>7</xdr:row>
      <xdr:rowOff>1483179</xdr:rowOff>
    </xdr:to>
    <xdr:grpSp>
      <xdr:nvGrpSpPr>
        <xdr:cNvPr id="63" name="Group 62">
          <a:extLst>
            <a:ext uri="{FF2B5EF4-FFF2-40B4-BE49-F238E27FC236}">
              <a16:creationId xmlns:a16="http://schemas.microsoft.com/office/drawing/2014/main" id="{846F8A8D-39F4-45B8-81AA-2C4FF5CA4E75}"/>
            </a:ext>
          </a:extLst>
        </xdr:cNvPr>
        <xdr:cNvGrpSpPr/>
      </xdr:nvGrpSpPr>
      <xdr:grpSpPr>
        <a:xfrm>
          <a:off x="236974" y="2638047"/>
          <a:ext cx="2330329" cy="639007"/>
          <a:chOff x="240489" y="3814027"/>
          <a:chExt cx="2486812" cy="1473270"/>
        </a:xfrm>
      </xdr:grpSpPr>
      <xdr:sp macro="" textlink="">
        <xdr:nvSpPr>
          <xdr:cNvPr id="64" name="Rectangle: Rounded Corners 65">
            <a:hlinkClick xmlns:r="http://schemas.openxmlformats.org/officeDocument/2006/relationships" r:id="rId3"/>
            <a:extLst>
              <a:ext uri="{FF2B5EF4-FFF2-40B4-BE49-F238E27FC236}">
                <a16:creationId xmlns:a16="http://schemas.microsoft.com/office/drawing/2014/main" id="{6BB86454-8665-23C4-EF7E-CDEF39E6A82F}"/>
              </a:ext>
            </a:extLst>
          </xdr:cNvPr>
          <xdr:cNvSpPr/>
        </xdr:nvSpPr>
        <xdr:spPr>
          <a:xfrm>
            <a:off x="311791" y="4677912"/>
            <a:ext cx="2409649" cy="609385"/>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Risk &amp; Compliance</a:t>
            </a:r>
          </a:p>
        </xdr:txBody>
      </xdr:sp>
      <xdr:sp macro="" textlink="">
        <xdr:nvSpPr>
          <xdr:cNvPr id="67" name="Rectangle: Rounded Corners 65">
            <a:extLst>
              <a:ext uri="{FF2B5EF4-FFF2-40B4-BE49-F238E27FC236}">
                <a16:creationId xmlns:a16="http://schemas.microsoft.com/office/drawing/2014/main" id="{B9BCDE64-70FD-97C3-8BFC-F3811DE7F82D}"/>
              </a:ext>
            </a:extLst>
          </xdr:cNvPr>
          <xdr:cNvSpPr/>
        </xdr:nvSpPr>
        <xdr:spPr>
          <a:xfrm>
            <a:off x="240489" y="3814027"/>
            <a:ext cx="2486812" cy="743878"/>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Risk &amp; Compliance</a:t>
            </a:r>
          </a:p>
        </xdr:txBody>
      </xdr:sp>
    </xdr:grpSp>
    <xdr:clientData/>
  </xdr:twoCellAnchor>
  <xdr:twoCellAnchor>
    <xdr:from>
      <xdr:col>0</xdr:col>
      <xdr:colOff>236974</xdr:colOff>
      <xdr:row>12</xdr:row>
      <xdr:rowOff>405009</xdr:rowOff>
    </xdr:from>
    <xdr:to>
      <xdr:col>4</xdr:col>
      <xdr:colOff>581249</xdr:colOff>
      <xdr:row>12</xdr:row>
      <xdr:rowOff>982242</xdr:rowOff>
    </xdr:to>
    <xdr:grpSp>
      <xdr:nvGrpSpPr>
        <xdr:cNvPr id="69" name="Group 68">
          <a:extLst>
            <a:ext uri="{FF2B5EF4-FFF2-40B4-BE49-F238E27FC236}">
              <a16:creationId xmlns:a16="http://schemas.microsoft.com/office/drawing/2014/main" id="{A9B3F064-6274-4B08-A35A-FADEBED72FBA}"/>
            </a:ext>
          </a:extLst>
        </xdr:cNvPr>
        <xdr:cNvGrpSpPr/>
      </xdr:nvGrpSpPr>
      <xdr:grpSpPr>
        <a:xfrm>
          <a:off x="236974" y="5104009"/>
          <a:ext cx="2341350" cy="577233"/>
          <a:chOff x="240489" y="3814027"/>
          <a:chExt cx="2486812" cy="592654"/>
        </a:xfrm>
      </xdr:grpSpPr>
      <xdr:sp macro="" textlink="">
        <xdr:nvSpPr>
          <xdr:cNvPr id="70" name="Rectangle: Rounded Corners 65">
            <a:hlinkClick xmlns:r="http://schemas.openxmlformats.org/officeDocument/2006/relationships" r:id="rId4"/>
            <a:extLst>
              <a:ext uri="{FF2B5EF4-FFF2-40B4-BE49-F238E27FC236}">
                <a16:creationId xmlns:a16="http://schemas.microsoft.com/office/drawing/2014/main" id="{34872D39-5010-13BD-0B34-41F6C16BFF6E}"/>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Customer Experience</a:t>
            </a:r>
          </a:p>
        </xdr:txBody>
      </xdr:sp>
      <xdr:sp macro="" textlink="">
        <xdr:nvSpPr>
          <xdr:cNvPr id="71" name="Rectangle: Rounded Corners 65">
            <a:extLst>
              <a:ext uri="{FF2B5EF4-FFF2-40B4-BE49-F238E27FC236}">
                <a16:creationId xmlns:a16="http://schemas.microsoft.com/office/drawing/2014/main" id="{030696FE-54C4-B5C3-A2C6-BB293919303E}"/>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Customer</a:t>
            </a:r>
          </a:p>
        </xdr:txBody>
      </xdr:sp>
    </xdr:grpSp>
    <xdr:clientData/>
  </xdr:twoCellAnchor>
  <xdr:twoCellAnchor>
    <xdr:from>
      <xdr:col>0</xdr:col>
      <xdr:colOff>236974</xdr:colOff>
      <xdr:row>12</xdr:row>
      <xdr:rowOff>1119134</xdr:rowOff>
    </xdr:from>
    <xdr:to>
      <xdr:col>4</xdr:col>
      <xdr:colOff>581249</xdr:colOff>
      <xdr:row>13</xdr:row>
      <xdr:rowOff>85182</xdr:rowOff>
    </xdr:to>
    <xdr:grpSp>
      <xdr:nvGrpSpPr>
        <xdr:cNvPr id="72" name="Group 71">
          <a:extLst>
            <a:ext uri="{FF2B5EF4-FFF2-40B4-BE49-F238E27FC236}">
              <a16:creationId xmlns:a16="http://schemas.microsoft.com/office/drawing/2014/main" id="{70A27A70-4F0D-4536-9CA7-3DB7F3D6F30A}"/>
            </a:ext>
          </a:extLst>
        </xdr:cNvPr>
        <xdr:cNvGrpSpPr/>
      </xdr:nvGrpSpPr>
      <xdr:grpSpPr>
        <a:xfrm>
          <a:off x="236974" y="5818134"/>
          <a:ext cx="2341350" cy="617048"/>
          <a:chOff x="240489" y="3814027"/>
          <a:chExt cx="2486812" cy="592654"/>
        </a:xfrm>
      </xdr:grpSpPr>
      <xdr:sp macro="" textlink="">
        <xdr:nvSpPr>
          <xdr:cNvPr id="73" name="Rectangle: Rounded Corners 65">
            <a:hlinkClick xmlns:r="http://schemas.openxmlformats.org/officeDocument/2006/relationships" r:id="rId5"/>
            <a:extLst>
              <a:ext uri="{FF2B5EF4-FFF2-40B4-BE49-F238E27FC236}">
                <a16:creationId xmlns:a16="http://schemas.microsoft.com/office/drawing/2014/main" id="{5568BEDB-ECB4-853F-7A65-1563C5658236}"/>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Power Supplied</a:t>
            </a:r>
          </a:p>
        </xdr:txBody>
      </xdr:sp>
      <xdr:sp macro="" textlink="">
        <xdr:nvSpPr>
          <xdr:cNvPr id="74" name="Rectangle: Rounded Corners 65">
            <a:extLst>
              <a:ext uri="{FF2B5EF4-FFF2-40B4-BE49-F238E27FC236}">
                <a16:creationId xmlns:a16="http://schemas.microsoft.com/office/drawing/2014/main" id="{8DCB36CE-C871-DDC4-47B7-C091E82C9C62}"/>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Power Supplied</a:t>
            </a:r>
          </a:p>
        </xdr:txBody>
      </xdr:sp>
    </xdr:grpSp>
    <xdr:clientData/>
  </xdr:twoCellAnchor>
  <xdr:twoCellAnchor>
    <xdr:from>
      <xdr:col>0</xdr:col>
      <xdr:colOff>236974</xdr:colOff>
      <xdr:row>14</xdr:row>
      <xdr:rowOff>68035</xdr:rowOff>
    </xdr:from>
    <xdr:to>
      <xdr:col>4</xdr:col>
      <xdr:colOff>581249</xdr:colOff>
      <xdr:row>17</xdr:row>
      <xdr:rowOff>14090</xdr:rowOff>
    </xdr:to>
    <xdr:grpSp>
      <xdr:nvGrpSpPr>
        <xdr:cNvPr id="75" name="Group 74">
          <a:extLst>
            <a:ext uri="{FF2B5EF4-FFF2-40B4-BE49-F238E27FC236}">
              <a16:creationId xmlns:a16="http://schemas.microsoft.com/office/drawing/2014/main" id="{B7457D7B-A8E2-4F23-B17B-75A54F610122}"/>
            </a:ext>
          </a:extLst>
        </xdr:cNvPr>
        <xdr:cNvGrpSpPr/>
      </xdr:nvGrpSpPr>
      <xdr:grpSpPr>
        <a:xfrm>
          <a:off x="236974" y="6608535"/>
          <a:ext cx="2341350" cy="1168430"/>
          <a:chOff x="240489" y="3814027"/>
          <a:chExt cx="2486812" cy="1292436"/>
        </a:xfrm>
      </xdr:grpSpPr>
      <xdr:sp macro="" textlink="">
        <xdr:nvSpPr>
          <xdr:cNvPr id="76" name="Rectangle: Rounded Corners 65">
            <a:hlinkClick xmlns:r="http://schemas.openxmlformats.org/officeDocument/2006/relationships" r:id="rId6"/>
            <a:extLst>
              <a:ext uri="{FF2B5EF4-FFF2-40B4-BE49-F238E27FC236}">
                <a16:creationId xmlns:a16="http://schemas.microsoft.com/office/drawing/2014/main" id="{7633FCFE-1428-3CD1-9B9D-EB79BE5AC713}"/>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Energy &amp; Emissions</a:t>
            </a:r>
          </a:p>
        </xdr:txBody>
      </xdr:sp>
      <xdr:sp macro="" textlink="">
        <xdr:nvSpPr>
          <xdr:cNvPr id="77" name="Rectangle: Rounded Corners 66">
            <a:hlinkClick xmlns:r="http://schemas.openxmlformats.org/officeDocument/2006/relationships" r:id="rId7"/>
            <a:extLst>
              <a:ext uri="{FF2B5EF4-FFF2-40B4-BE49-F238E27FC236}">
                <a16:creationId xmlns:a16="http://schemas.microsoft.com/office/drawing/2014/main" id="{F10104DB-D922-1286-5521-2484CBCEE264}"/>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8" name="Rectangle: Rounded Corners 67">
            <a:hlinkClick xmlns:r="http://schemas.openxmlformats.org/officeDocument/2006/relationships" r:id="rId8"/>
            <a:extLst>
              <a:ext uri="{FF2B5EF4-FFF2-40B4-BE49-F238E27FC236}">
                <a16:creationId xmlns:a16="http://schemas.microsoft.com/office/drawing/2014/main" id="{7F72DFCD-75D5-F721-A14C-F39016BFF817}"/>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9" name="Rectangle: Rounded Corners 65">
            <a:hlinkClick xmlns:r="http://schemas.openxmlformats.org/officeDocument/2006/relationships" r:id="rId9"/>
            <a:extLst>
              <a:ext uri="{FF2B5EF4-FFF2-40B4-BE49-F238E27FC236}">
                <a16:creationId xmlns:a16="http://schemas.microsoft.com/office/drawing/2014/main" id="{2A99E463-B42A-97E1-330E-E1D4DE962B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Emissions</a:t>
            </a:r>
          </a:p>
        </xdr:txBody>
      </xdr:sp>
    </xdr:grpSp>
    <xdr:clientData/>
  </xdr:twoCellAnchor>
  <xdr:twoCellAnchor>
    <xdr:from>
      <xdr:col>0</xdr:col>
      <xdr:colOff>236974</xdr:colOff>
      <xdr:row>18</xdr:row>
      <xdr:rowOff>1303</xdr:rowOff>
    </xdr:from>
    <xdr:to>
      <xdr:col>4</xdr:col>
      <xdr:colOff>581249</xdr:colOff>
      <xdr:row>22</xdr:row>
      <xdr:rowOff>592171</xdr:rowOff>
    </xdr:to>
    <xdr:grpSp>
      <xdr:nvGrpSpPr>
        <xdr:cNvPr id="80" name="Group 79">
          <a:extLst>
            <a:ext uri="{FF2B5EF4-FFF2-40B4-BE49-F238E27FC236}">
              <a16:creationId xmlns:a16="http://schemas.microsoft.com/office/drawing/2014/main" id="{350125B4-6ED5-48F7-A102-1A528A005775}"/>
            </a:ext>
          </a:extLst>
        </xdr:cNvPr>
        <xdr:cNvGrpSpPr/>
      </xdr:nvGrpSpPr>
      <xdr:grpSpPr>
        <a:xfrm>
          <a:off x="236974" y="7938803"/>
          <a:ext cx="2341350" cy="1289368"/>
          <a:chOff x="240489" y="3814027"/>
          <a:chExt cx="2486812" cy="1292436"/>
        </a:xfrm>
      </xdr:grpSpPr>
      <xdr:sp macro="" textlink="">
        <xdr:nvSpPr>
          <xdr:cNvPr id="81" name="Rectangle: Rounded Corners 65">
            <a:hlinkClick xmlns:r="http://schemas.openxmlformats.org/officeDocument/2006/relationships" r:id="rId10"/>
            <a:extLst>
              <a:ext uri="{FF2B5EF4-FFF2-40B4-BE49-F238E27FC236}">
                <a16:creationId xmlns:a16="http://schemas.microsoft.com/office/drawing/2014/main" id="{B02DF2D3-274E-3460-AB9C-545DF7813DC5}"/>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a:t>
            </a:r>
            <a:r>
              <a:rPr lang="en-AU" sz="1000" b="0" baseline="0">
                <a:solidFill>
                  <a:sysClr val="windowText" lastClr="000000"/>
                </a:solidFill>
                <a:latin typeface="Arial" panose="020B0604020202020204" pitchFamily="34" charset="0"/>
                <a:cs typeface="Arial" panose="020B0604020202020204" pitchFamily="34" charset="0"/>
              </a:rPr>
              <a:t> </a:t>
            </a:r>
            <a:r>
              <a:rPr lang="en-AU" sz="1000" b="0">
                <a:solidFill>
                  <a:sysClr val="windowText" lastClr="000000"/>
                </a:solidFill>
                <a:latin typeface="Arial" panose="020B0604020202020204" pitchFamily="34" charset="0"/>
                <a:cs typeface="Arial" panose="020B0604020202020204" pitchFamily="34" charset="0"/>
              </a:rPr>
              <a:t>Environment</a:t>
            </a:r>
          </a:p>
        </xdr:txBody>
      </xdr:sp>
      <xdr:sp macro="" textlink="">
        <xdr:nvSpPr>
          <xdr:cNvPr id="82" name="Rectangle: Rounded Corners 66">
            <a:hlinkClick xmlns:r="http://schemas.openxmlformats.org/officeDocument/2006/relationships" r:id="rId11"/>
            <a:extLst>
              <a:ext uri="{FF2B5EF4-FFF2-40B4-BE49-F238E27FC236}">
                <a16:creationId xmlns:a16="http://schemas.microsoft.com/office/drawing/2014/main" id="{CE20D67B-8A7C-B585-339F-0C387DB3F806}"/>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3" name="Rectangle: Rounded Corners 67">
            <a:hlinkClick xmlns:r="http://schemas.openxmlformats.org/officeDocument/2006/relationships" r:id="rId12"/>
            <a:extLst>
              <a:ext uri="{FF2B5EF4-FFF2-40B4-BE49-F238E27FC236}">
                <a16:creationId xmlns:a16="http://schemas.microsoft.com/office/drawing/2014/main" id="{287DFEE7-4F54-2AD6-CC60-0E6B4BC6923E}"/>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a:t>
            </a:r>
            <a:r>
              <a:rPr lang="en-AU" sz="1000" b="0" baseline="0">
                <a:solidFill>
                  <a:sysClr val="windowText" lastClr="000000"/>
                </a:solidFill>
                <a:latin typeface="Arial" panose="020B0604020202020204" pitchFamily="34" charset="0"/>
                <a:cs typeface="Arial" panose="020B0604020202020204" pitchFamily="34" charset="0"/>
              </a:rPr>
              <a:t> ES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4" name="Rectangle: Rounded Corners 65">
            <a:hlinkClick xmlns:r="http://schemas.openxmlformats.org/officeDocument/2006/relationships" r:id="rId13"/>
            <a:extLst>
              <a:ext uri="{FF2B5EF4-FFF2-40B4-BE49-F238E27FC236}">
                <a16:creationId xmlns:a16="http://schemas.microsoft.com/office/drawing/2014/main" id="{BF13EF08-7B1C-53F8-DB48-443A61FD30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Environment</a:t>
            </a:r>
          </a:p>
        </xdr:txBody>
      </xdr:sp>
    </xdr:grpSp>
    <xdr:clientData/>
  </xdr:twoCellAnchor>
  <xdr:twoCellAnchor>
    <xdr:from>
      <xdr:col>0</xdr:col>
      <xdr:colOff>236503</xdr:colOff>
      <xdr:row>23</xdr:row>
      <xdr:rowOff>157565</xdr:rowOff>
    </xdr:from>
    <xdr:to>
      <xdr:col>4</xdr:col>
      <xdr:colOff>580778</xdr:colOff>
      <xdr:row>26</xdr:row>
      <xdr:rowOff>291582</xdr:rowOff>
    </xdr:to>
    <xdr:grpSp>
      <xdr:nvGrpSpPr>
        <xdr:cNvPr id="85" name="Group 84">
          <a:extLst>
            <a:ext uri="{FF2B5EF4-FFF2-40B4-BE49-F238E27FC236}">
              <a16:creationId xmlns:a16="http://schemas.microsoft.com/office/drawing/2014/main" id="{4B93E0E7-4923-43F7-8C31-46BF17EA0BF7}"/>
            </a:ext>
          </a:extLst>
        </xdr:cNvPr>
        <xdr:cNvGrpSpPr/>
      </xdr:nvGrpSpPr>
      <xdr:grpSpPr>
        <a:xfrm>
          <a:off x="236503" y="9396815"/>
          <a:ext cx="2341350" cy="991267"/>
          <a:chOff x="240489" y="3814027"/>
          <a:chExt cx="2486812" cy="946214"/>
        </a:xfrm>
      </xdr:grpSpPr>
      <xdr:sp macro="" textlink="">
        <xdr:nvSpPr>
          <xdr:cNvPr id="86" name="Rectangle: Rounded Corners 65">
            <a:hlinkClick xmlns:r="http://schemas.openxmlformats.org/officeDocument/2006/relationships" r:id="rId14"/>
            <a:extLst>
              <a:ext uri="{FF2B5EF4-FFF2-40B4-BE49-F238E27FC236}">
                <a16:creationId xmlns:a16="http://schemas.microsoft.com/office/drawing/2014/main" id="{F6787430-6E24-F9CC-0961-F4CEBDACA7D9}"/>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Health &amp; Safety</a:t>
            </a:r>
          </a:p>
        </xdr:txBody>
      </xdr:sp>
      <xdr:sp macro="" textlink="">
        <xdr:nvSpPr>
          <xdr:cNvPr id="87" name="Rectangle: Rounded Corners 66">
            <a:hlinkClick xmlns:r="http://schemas.openxmlformats.org/officeDocument/2006/relationships" r:id="rId15"/>
            <a:extLst>
              <a:ext uri="{FF2B5EF4-FFF2-40B4-BE49-F238E27FC236}">
                <a16:creationId xmlns:a16="http://schemas.microsoft.com/office/drawing/2014/main" id="{871837EC-2D09-89E4-5619-CD0794DD22FD}"/>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a:t>
            </a:r>
            <a:r>
              <a:rPr lang="en-AU" sz="1000" b="0" baseline="0">
                <a:solidFill>
                  <a:sysClr val="windowText" lastClr="000000"/>
                </a:solidFill>
                <a:latin typeface="Arial" panose="020B0604020202020204" pitchFamily="34" charset="0"/>
                <a:cs typeface="Arial" panose="020B0604020202020204" pitchFamily="34" charset="0"/>
              </a:rPr>
              <a:t>Health &amp; Safety</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9" name="Rectangle: Rounded Corners 65">
            <a:extLst>
              <a:ext uri="{FF2B5EF4-FFF2-40B4-BE49-F238E27FC236}">
                <a16:creationId xmlns:a16="http://schemas.microsoft.com/office/drawing/2014/main" id="{8D0DD117-C9EA-5838-ED50-BFBFDFFB3D56}"/>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Health</a:t>
            </a:r>
            <a:r>
              <a:rPr lang="en-AU" sz="1100" b="1" baseline="0">
                <a:solidFill>
                  <a:schemeClr val="accent5">
                    <a:lumMod val="50000"/>
                  </a:schemeClr>
                </a:solidFill>
                <a:latin typeface="Arial" panose="020B0604020202020204" pitchFamily="34" charset="0"/>
                <a:cs typeface="Arial" panose="020B0604020202020204" pitchFamily="34" charset="0"/>
              </a:rPr>
              <a:t> &amp; Safety</a:t>
            </a:r>
            <a:endParaRPr lang="en-AU" sz="1100" b="1">
              <a:solidFill>
                <a:schemeClr val="accent5">
                  <a:lumMod val="50000"/>
                </a:schemeClr>
              </a:solidFill>
              <a:latin typeface="Arial" panose="020B0604020202020204" pitchFamily="34" charset="0"/>
              <a:cs typeface="Arial" panose="020B0604020202020204" pitchFamily="34" charset="0"/>
            </a:endParaRPr>
          </a:p>
        </xdr:txBody>
      </xdr:sp>
    </xdr:grpSp>
    <xdr:clientData/>
  </xdr:twoCellAnchor>
  <xdr:twoCellAnchor>
    <xdr:from>
      <xdr:col>21</xdr:col>
      <xdr:colOff>321577</xdr:colOff>
      <xdr:row>3</xdr:row>
      <xdr:rowOff>2387</xdr:rowOff>
    </xdr:from>
    <xdr:to>
      <xdr:col>26</xdr:col>
      <xdr:colOff>0</xdr:colOff>
      <xdr:row>5</xdr:row>
      <xdr:rowOff>120570</xdr:rowOff>
    </xdr:to>
    <xdr:sp macro="" textlink="">
      <xdr:nvSpPr>
        <xdr:cNvPr id="116" name="TextBox 94">
          <a:hlinkClick xmlns:r="http://schemas.openxmlformats.org/officeDocument/2006/relationships" r:id="rId16"/>
          <a:extLst>
            <a:ext uri="{FF2B5EF4-FFF2-40B4-BE49-F238E27FC236}">
              <a16:creationId xmlns:a16="http://schemas.microsoft.com/office/drawing/2014/main" id="{9FC820BB-E8D0-44FF-BD8E-FCB065AB52EB}"/>
            </a:ext>
          </a:extLst>
        </xdr:cNvPr>
        <xdr:cNvSpPr txBox="1"/>
      </xdr:nvSpPr>
      <xdr:spPr>
        <a:xfrm>
          <a:off x="12740248" y="749919"/>
          <a:ext cx="2077758" cy="479892"/>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Modern Slavery Statement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17</xdr:col>
      <xdr:colOff>418415</xdr:colOff>
      <xdr:row>2</xdr:row>
      <xdr:rowOff>180065</xdr:rowOff>
    </xdr:from>
    <xdr:to>
      <xdr:col>21</xdr:col>
      <xdr:colOff>103182</xdr:colOff>
      <xdr:row>5</xdr:row>
      <xdr:rowOff>120568</xdr:rowOff>
    </xdr:to>
    <xdr:sp macro="" textlink="">
      <xdr:nvSpPr>
        <xdr:cNvPr id="56" name="TextBox 95">
          <a:hlinkClick xmlns:r="http://schemas.openxmlformats.org/officeDocument/2006/relationships" r:id="rId17"/>
          <a:extLst>
            <a:ext uri="{FF2B5EF4-FFF2-40B4-BE49-F238E27FC236}">
              <a16:creationId xmlns:a16="http://schemas.microsoft.com/office/drawing/2014/main" id="{11C76DCE-66DC-46CE-924F-A83D084F0237}"/>
            </a:ext>
          </a:extLst>
        </xdr:cNvPr>
        <xdr:cNvSpPr txBox="1"/>
      </xdr:nvSpPr>
      <xdr:spPr>
        <a:xfrm>
          <a:off x="10425693" y="746742"/>
          <a:ext cx="2096160" cy="483067"/>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GRI Content Index</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13</xdr:col>
      <xdr:colOff>540652</xdr:colOff>
      <xdr:row>2</xdr:row>
      <xdr:rowOff>180065</xdr:rowOff>
    </xdr:from>
    <xdr:to>
      <xdr:col>17</xdr:col>
      <xdr:colOff>200020</xdr:colOff>
      <xdr:row>5</xdr:row>
      <xdr:rowOff>120568</xdr:rowOff>
    </xdr:to>
    <xdr:sp macro="" textlink="">
      <xdr:nvSpPr>
        <xdr:cNvPr id="54" name="TextBox 96">
          <a:hlinkClick xmlns:r="http://schemas.openxmlformats.org/officeDocument/2006/relationships" r:id="rId18"/>
          <a:extLst>
            <a:ext uri="{FF2B5EF4-FFF2-40B4-BE49-F238E27FC236}">
              <a16:creationId xmlns:a16="http://schemas.microsoft.com/office/drawing/2014/main" id="{DB2A411A-1E28-45CC-AD82-5B227C9AB7A7}"/>
            </a:ext>
          </a:extLst>
        </xdr:cNvPr>
        <xdr:cNvSpPr txBox="1"/>
      </xdr:nvSpPr>
      <xdr:spPr>
        <a:xfrm>
          <a:off x="8136538" y="746742"/>
          <a:ext cx="2070760" cy="483067"/>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Corporate Governance Supplement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10</xdr:col>
      <xdr:colOff>127000</xdr:colOff>
      <xdr:row>0</xdr:row>
      <xdr:rowOff>163285</xdr:rowOff>
    </xdr:from>
    <xdr:to>
      <xdr:col>26</xdr:col>
      <xdr:colOff>4535</xdr:colOff>
      <xdr:row>2</xdr:row>
      <xdr:rowOff>40819</xdr:rowOff>
    </xdr:to>
    <xdr:sp macro="" textlink="">
      <xdr:nvSpPr>
        <xdr:cNvPr id="43" name="TextBox 42">
          <a:hlinkClick xmlns:r="http://schemas.openxmlformats.org/officeDocument/2006/relationships" r:id="rId19"/>
          <a:extLst>
            <a:ext uri="{FF2B5EF4-FFF2-40B4-BE49-F238E27FC236}">
              <a16:creationId xmlns:a16="http://schemas.microsoft.com/office/drawing/2014/main" id="{503789C6-37BE-4A53-8E5B-5FD533369F0B}"/>
            </a:ext>
          </a:extLst>
        </xdr:cNvPr>
        <xdr:cNvSpPr txBox="1"/>
      </xdr:nvSpPr>
      <xdr:spPr>
        <a:xfrm>
          <a:off x="5619750" y="163285"/>
          <a:ext cx="8450035" cy="433159"/>
        </a:xfrm>
        <a:prstGeom prst="rect">
          <a:avLst/>
        </a:prstGeom>
        <a:solidFill>
          <a:srgbClr val="F2F2F2"/>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u="sng" baseline="0">
              <a:solidFill>
                <a:schemeClr val="accent1">
                  <a:lumMod val="50000"/>
                </a:schemeClr>
              </a:solidFill>
              <a:latin typeface="Arial" panose="020B0604020202020204" pitchFamily="34" charset="0"/>
              <a:cs typeface="Arial" panose="020B0604020202020204" pitchFamily="34" charset="0"/>
            </a:rPr>
            <a:t>Sustainability at Ausgrid</a:t>
          </a:r>
          <a:endParaRPr lang="en-AU" sz="1100" b="1" u="sng">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0</xdr:col>
      <xdr:colOff>236974</xdr:colOff>
      <xdr:row>7</xdr:row>
      <xdr:rowOff>1454159</xdr:rowOff>
    </xdr:from>
    <xdr:to>
      <xdr:col>4</xdr:col>
      <xdr:colOff>555563</xdr:colOff>
      <xdr:row>12</xdr:row>
      <xdr:rowOff>194304</xdr:rowOff>
    </xdr:to>
    <xdr:grpSp>
      <xdr:nvGrpSpPr>
        <xdr:cNvPr id="9" name="Group 8">
          <a:extLst>
            <a:ext uri="{FF2B5EF4-FFF2-40B4-BE49-F238E27FC236}">
              <a16:creationId xmlns:a16="http://schemas.microsoft.com/office/drawing/2014/main" id="{D847AF95-FE70-E9E4-72B0-88F5AF8B139D}"/>
            </a:ext>
          </a:extLst>
        </xdr:cNvPr>
        <xdr:cNvGrpSpPr/>
      </xdr:nvGrpSpPr>
      <xdr:grpSpPr>
        <a:xfrm>
          <a:off x="236974" y="3248034"/>
          <a:ext cx="2334714" cy="1645270"/>
          <a:chOff x="4543077" y="9550162"/>
          <a:chExt cx="2445524" cy="1637395"/>
        </a:xfrm>
      </xdr:grpSpPr>
      <xdr:sp macro="" textlink="">
        <xdr:nvSpPr>
          <xdr:cNvPr id="4" name="Rectangle: Rounded Corners 65">
            <a:hlinkClick xmlns:r="http://schemas.openxmlformats.org/officeDocument/2006/relationships" r:id="rId20"/>
            <a:extLst>
              <a:ext uri="{FF2B5EF4-FFF2-40B4-BE49-F238E27FC236}">
                <a16:creationId xmlns:a16="http://schemas.microsoft.com/office/drawing/2014/main" id="{C0F76118-B11B-FD27-691A-7ADC35C840DE}"/>
              </a:ext>
            </a:extLst>
          </xdr:cNvPr>
          <xdr:cNvSpPr/>
        </xdr:nvSpPr>
        <xdr:spPr>
          <a:xfrm>
            <a:off x="4613195" y="10139929"/>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Workforce</a:t>
            </a:r>
          </a:p>
        </xdr:txBody>
      </xdr:sp>
      <xdr:sp macro="" textlink="">
        <xdr:nvSpPr>
          <xdr:cNvPr id="6" name="Rectangle: Rounded Corners 66">
            <a:hlinkClick xmlns:r="http://schemas.openxmlformats.org/officeDocument/2006/relationships" r:id="rId21"/>
            <a:extLst>
              <a:ext uri="{FF2B5EF4-FFF2-40B4-BE49-F238E27FC236}">
                <a16:creationId xmlns:a16="http://schemas.microsoft.com/office/drawing/2014/main" id="{287DED58-5999-A2C3-E7D1-AAF3AAE70A6C}"/>
              </a:ext>
            </a:extLst>
          </xdr:cNvPr>
          <xdr:cNvSpPr/>
        </xdr:nvSpPr>
        <xdr:spPr>
          <a:xfrm>
            <a:off x="4613195" y="10536036"/>
            <a:ext cx="2372757"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Workforce</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 name="Rectangle: Rounded Corners 67">
            <a:hlinkClick xmlns:r="http://schemas.openxmlformats.org/officeDocument/2006/relationships" r:id="rId22"/>
            <a:extLst>
              <a:ext uri="{FF2B5EF4-FFF2-40B4-BE49-F238E27FC236}">
                <a16:creationId xmlns:a16="http://schemas.microsoft.com/office/drawing/2014/main" id="{9A4B34D0-3769-4B17-D470-99C5E36C0B74}"/>
              </a:ext>
            </a:extLst>
          </xdr:cNvPr>
          <xdr:cNvSpPr/>
        </xdr:nvSpPr>
        <xdr:spPr>
          <a:xfrm>
            <a:off x="4613195" y="10916393"/>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Workforce</a:t>
            </a:r>
          </a:p>
        </xdr:txBody>
      </xdr:sp>
      <xdr:sp macro="" textlink="">
        <xdr:nvSpPr>
          <xdr:cNvPr id="8" name="Rectangle: Rounded Corners 65">
            <a:extLst>
              <a:ext uri="{FF2B5EF4-FFF2-40B4-BE49-F238E27FC236}">
                <a16:creationId xmlns:a16="http://schemas.microsoft.com/office/drawing/2014/main" id="{344FFD02-9724-2C64-0E47-25631B57C2D7}"/>
              </a:ext>
            </a:extLst>
          </xdr:cNvPr>
          <xdr:cNvSpPr/>
        </xdr:nvSpPr>
        <xdr:spPr>
          <a:xfrm>
            <a:off x="4543077" y="9550162"/>
            <a:ext cx="2445524" cy="684672"/>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Workforce</a:t>
            </a:r>
          </a:p>
        </xdr:txBody>
      </xdr:sp>
    </xdr:grpSp>
    <xdr:clientData/>
  </xdr:twoCellAnchor>
  <xdr:twoCellAnchor editAs="oneCell">
    <xdr:from>
      <xdr:col>0</xdr:col>
      <xdr:colOff>161925</xdr:colOff>
      <xdr:row>0</xdr:row>
      <xdr:rowOff>190500</xdr:rowOff>
    </xdr:from>
    <xdr:to>
      <xdr:col>5</xdr:col>
      <xdr:colOff>247650</xdr:colOff>
      <xdr:row>5</xdr:row>
      <xdr:rowOff>76200</xdr:rowOff>
    </xdr:to>
    <xdr:pic>
      <xdr:nvPicPr>
        <xdr:cNvPr id="3" name="Picture 2">
          <a:extLst>
            <a:ext uri="{FF2B5EF4-FFF2-40B4-BE49-F238E27FC236}">
              <a16:creationId xmlns:a16="http://schemas.microsoft.com/office/drawing/2014/main" id="{5580C7DB-F03E-1043-6747-9667087581F1}"/>
            </a:ext>
            <a:ext uri="{147F2762-F138-4A5C-976F-8EAC2B608ADB}">
              <a16:predDERef xmlns:a16="http://schemas.microsoft.com/office/drawing/2014/main" pred="{9C1A4EE2-4A7D-92FF-6903-14E5D1024D57}"/>
            </a:ext>
          </a:extLst>
        </xdr:cNvPr>
        <xdr:cNvPicPr>
          <a:picLocks noChangeAspect="1"/>
        </xdr:cNvPicPr>
      </xdr:nvPicPr>
      <xdr:blipFill>
        <a:blip xmlns:r="http://schemas.openxmlformats.org/officeDocument/2006/relationships" r:embed="rId23"/>
        <a:stretch>
          <a:fillRect/>
        </a:stretch>
      </xdr:blipFill>
      <xdr:spPr>
        <a:xfrm>
          <a:off x="161925" y="190500"/>
          <a:ext cx="2657475" cy="990600"/>
        </a:xfrm>
        <a:prstGeom prst="rect">
          <a:avLst/>
        </a:prstGeom>
      </xdr:spPr>
    </xdr:pic>
    <xdr:clientData/>
  </xdr:twoCellAnchor>
  <xdr:twoCellAnchor>
    <xdr:from>
      <xdr:col>1</xdr:col>
      <xdr:colOff>3175</xdr:colOff>
      <xdr:row>6</xdr:row>
      <xdr:rowOff>3175</xdr:rowOff>
    </xdr:from>
    <xdr:to>
      <xdr:col>1</xdr:col>
      <xdr:colOff>66675</xdr:colOff>
      <xdr:row>6</xdr:row>
      <xdr:rowOff>105767</xdr:rowOff>
    </xdr:to>
    <xdr:sp macro="" textlink="">
      <xdr:nvSpPr>
        <xdr:cNvPr id="10" name="TextBox 9">
          <a:extLst>
            <a:ext uri="{FF2B5EF4-FFF2-40B4-BE49-F238E27FC236}">
              <a16:creationId xmlns:a16="http://schemas.microsoft.com/office/drawing/2014/main" id="{943DC55F-F92B-DB6D-5518-94A91E7A10CB}"/>
            </a:ext>
          </a:extLst>
        </xdr:cNvPr>
        <xdr:cNvSpPr txBox="1"/>
      </xdr:nvSpPr>
      <xdr:spPr>
        <a:xfrm>
          <a:off x="314325" y="1304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X1A0T</a:t>
          </a:r>
        </a:p>
      </xdr:txBody>
    </xdr:sp>
    <xdr:clientData/>
  </xdr:twoCellAnchor>
  <xdr:twoCellAnchor>
    <xdr:from>
      <xdr:col>10</xdr:col>
      <xdr:colOff>103788</xdr:colOff>
      <xdr:row>3</xdr:row>
      <xdr:rowOff>617</xdr:rowOff>
    </xdr:from>
    <xdr:to>
      <xdr:col>13</xdr:col>
      <xdr:colOff>334656</xdr:colOff>
      <xdr:row>5</xdr:row>
      <xdr:rowOff>131620</xdr:rowOff>
    </xdr:to>
    <xdr:sp macro="" textlink="">
      <xdr:nvSpPr>
        <xdr:cNvPr id="12" name="TextBox 96">
          <a:hlinkClick xmlns:r="http://schemas.openxmlformats.org/officeDocument/2006/relationships" r:id="rId24"/>
          <a:extLst>
            <a:ext uri="{FF2B5EF4-FFF2-40B4-BE49-F238E27FC236}">
              <a16:creationId xmlns:a16="http://schemas.microsoft.com/office/drawing/2014/main" id="{52F3E9DC-607F-45E7-AC41-5BCD1A6CB6F1}"/>
            </a:ext>
          </a:extLst>
        </xdr:cNvPr>
        <xdr:cNvSpPr txBox="1"/>
      </xdr:nvSpPr>
      <xdr:spPr>
        <a:xfrm>
          <a:off x="5596538" y="746742"/>
          <a:ext cx="1945368" cy="512003"/>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Business and Sustainability Review</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B6FC9029-B882-4825-A9B1-46F36040DC7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1638300</xdr:colOff>
      <xdr:row>1</xdr:row>
      <xdr:rowOff>152400</xdr:rowOff>
    </xdr:from>
    <xdr:to>
      <xdr:col>1</xdr:col>
      <xdr:colOff>4124325</xdr:colOff>
      <xdr:row>1</xdr:row>
      <xdr:rowOff>825500</xdr:rowOff>
    </xdr:to>
    <xdr:pic>
      <xdr:nvPicPr>
        <xdr:cNvPr id="30" name="Picture 1">
          <a:extLst>
            <a:ext uri="{FF2B5EF4-FFF2-40B4-BE49-F238E27FC236}">
              <a16:creationId xmlns:a16="http://schemas.microsoft.com/office/drawing/2014/main" id="{144D630C-4192-4254-A85F-E7D799FD00B1}"/>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1962150" y="476250"/>
          <a:ext cx="2482850" cy="6762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D39D233E-E553-5E3E-8256-D974E7FCAB3A}"/>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X11A0T</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84FE2E8-810C-49E4-9AD0-94DE90B8F8A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635000</xdr:colOff>
      <xdr:row>1</xdr:row>
      <xdr:rowOff>82550</xdr:rowOff>
    </xdr:from>
    <xdr:to>
      <xdr:col>1</xdr:col>
      <xdr:colOff>4076700</xdr:colOff>
      <xdr:row>1</xdr:row>
      <xdr:rowOff>914400</xdr:rowOff>
    </xdr:to>
    <xdr:pic>
      <xdr:nvPicPr>
        <xdr:cNvPr id="2" name="Picture 1">
          <a:extLst>
            <a:ext uri="{FF2B5EF4-FFF2-40B4-BE49-F238E27FC236}">
              <a16:creationId xmlns:a16="http://schemas.microsoft.com/office/drawing/2014/main" id="{8E58C96C-5562-4A3D-A3FC-1DFFE55E0C49}"/>
            </a:ext>
            <a:ext uri="{147F2762-F138-4A5C-976F-8EAC2B608ADB}">
              <a16:predDERef xmlns:a16="http://schemas.microsoft.com/office/drawing/2014/main" pred="{084FE2E8-810C-49E4-9AD0-94DE90B8F8A1}"/>
            </a:ext>
          </a:extLst>
        </xdr:cNvPr>
        <xdr:cNvPicPr>
          <a:picLocks noChangeAspect="1"/>
        </xdr:cNvPicPr>
      </xdr:nvPicPr>
      <xdr:blipFill>
        <a:blip xmlns:r="http://schemas.openxmlformats.org/officeDocument/2006/relationships" r:embed="rId2"/>
        <a:srcRect l="43750" t="30833" b="30121"/>
        <a:stretch/>
      </xdr:blipFill>
      <xdr:spPr>
        <a:xfrm>
          <a:off x="952500" y="400050"/>
          <a:ext cx="3441700" cy="83185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161E9731-DECB-4E1A-85A0-F7C77D4A02BF}"/>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704850</xdr:colOff>
      <xdr:row>1</xdr:row>
      <xdr:rowOff>137432</xdr:rowOff>
    </xdr:from>
    <xdr:to>
      <xdr:col>1</xdr:col>
      <xdr:colOff>3196590</xdr:colOff>
      <xdr:row>1</xdr:row>
      <xdr:rowOff>802912</xdr:rowOff>
    </xdr:to>
    <xdr:pic>
      <xdr:nvPicPr>
        <xdr:cNvPr id="2" name="Picture 1">
          <a:extLst>
            <a:ext uri="{FF2B5EF4-FFF2-40B4-BE49-F238E27FC236}">
              <a16:creationId xmlns:a16="http://schemas.microsoft.com/office/drawing/2014/main" id="{4B999505-FE93-46E6-AF8B-E44AE4962835}"/>
            </a:ext>
            <a:ext uri="{147F2762-F138-4A5C-976F-8EAC2B608ADB}">
              <a16:predDERef xmlns:a16="http://schemas.microsoft.com/office/drawing/2014/main" pred="{161E9731-DECB-4E1A-85A0-F7C77D4A02BF}"/>
            </a:ext>
          </a:extLst>
        </xdr:cNvPr>
        <xdr:cNvPicPr>
          <a:picLocks noChangeAspect="1"/>
        </xdr:cNvPicPr>
      </xdr:nvPicPr>
      <xdr:blipFill>
        <a:blip xmlns:r="http://schemas.openxmlformats.org/officeDocument/2006/relationships" r:embed="rId2"/>
        <a:stretch>
          <a:fillRect/>
        </a:stretch>
      </xdr:blipFill>
      <xdr:spPr>
        <a:xfrm>
          <a:off x="1011011" y="443593"/>
          <a:ext cx="248285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DF9D748-04F8-F80B-AC89-4A908A40328E}"/>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X10A0T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09BE49A1-DA78-4A34-9DAF-4396E6538E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104775</xdr:colOff>
      <xdr:row>0</xdr:row>
      <xdr:rowOff>114300</xdr:rowOff>
    </xdr:from>
    <xdr:to>
      <xdr:col>1</xdr:col>
      <xdr:colOff>4030980</xdr:colOff>
      <xdr:row>2</xdr:row>
      <xdr:rowOff>259080</xdr:rowOff>
    </xdr:to>
    <xdr:pic>
      <xdr:nvPicPr>
        <xdr:cNvPr id="2" name="Picture 1">
          <a:extLst>
            <a:ext uri="{FF2B5EF4-FFF2-40B4-BE49-F238E27FC236}">
              <a16:creationId xmlns:a16="http://schemas.microsoft.com/office/drawing/2014/main" id="{7E3D8749-1C8E-4A84-BFF9-E45CA3E9AD99}"/>
            </a:ext>
            <a:ext uri="{147F2762-F138-4A5C-976F-8EAC2B608ADB}">
              <a16:predDERef xmlns:a16="http://schemas.microsoft.com/office/drawing/2014/main" pred="{09BE49A1-DA78-4A34-9DAF-4396E6538EA7}"/>
            </a:ext>
          </a:extLst>
        </xdr:cNvPr>
        <xdr:cNvPicPr>
          <a:picLocks noChangeAspect="1"/>
        </xdr:cNvPicPr>
      </xdr:nvPicPr>
      <xdr:blipFill>
        <a:blip xmlns:r="http://schemas.openxmlformats.org/officeDocument/2006/relationships" r:embed="rId2"/>
        <a:stretch>
          <a:fillRect/>
        </a:stretch>
      </xdr:blipFill>
      <xdr:spPr>
        <a:xfrm>
          <a:off x="400050" y="114300"/>
          <a:ext cx="3914775" cy="14668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F75E661-8986-48A7-B6FC-913E6B4522FD}"/>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1</xdr:row>
      <xdr:rowOff>161925</xdr:rowOff>
    </xdr:from>
    <xdr:to>
      <xdr:col>1</xdr:col>
      <xdr:colOff>2515694</xdr:colOff>
      <xdr:row>1</xdr:row>
      <xdr:rowOff>795494</xdr:rowOff>
    </xdr:to>
    <xdr:pic>
      <xdr:nvPicPr>
        <xdr:cNvPr id="2" name="Picture 1">
          <a:extLst>
            <a:ext uri="{FF2B5EF4-FFF2-40B4-BE49-F238E27FC236}">
              <a16:creationId xmlns:a16="http://schemas.microsoft.com/office/drawing/2014/main" id="{6DE5A93E-44A9-4D89-A7A5-09C0D982E503}"/>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455002" y="465469"/>
          <a:ext cx="2353769" cy="633569"/>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7606FBD-FF8C-2D3A-CC6C-07170AD05A20}"/>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X13A0T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D1F39BD7-BBEF-431B-A340-7603638687E0}"/>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200025</xdr:colOff>
      <xdr:row>1</xdr:row>
      <xdr:rowOff>85725</xdr:rowOff>
    </xdr:from>
    <xdr:to>
      <xdr:col>1</xdr:col>
      <xdr:colOff>3348355</xdr:colOff>
      <xdr:row>1</xdr:row>
      <xdr:rowOff>914400</xdr:rowOff>
    </xdr:to>
    <xdr:pic>
      <xdr:nvPicPr>
        <xdr:cNvPr id="3" name="Picture 1">
          <a:extLst>
            <a:ext uri="{FF2B5EF4-FFF2-40B4-BE49-F238E27FC236}">
              <a16:creationId xmlns:a16="http://schemas.microsoft.com/office/drawing/2014/main" id="{2E23D358-A729-46A7-BE20-3D17CB0FA86C}"/>
            </a:ext>
            <a:ext uri="{147F2762-F138-4A5C-976F-8EAC2B608ADB}">
              <a16:predDERef xmlns:a16="http://schemas.microsoft.com/office/drawing/2014/main" pred="{D1F39BD7-BBEF-431B-A340-7603638687E0}"/>
            </a:ext>
          </a:extLst>
        </xdr:cNvPr>
        <xdr:cNvPicPr>
          <a:picLocks noChangeAspect="1"/>
        </xdr:cNvPicPr>
      </xdr:nvPicPr>
      <xdr:blipFill>
        <a:blip xmlns:r="http://schemas.openxmlformats.org/officeDocument/2006/relationships" r:embed="rId2"/>
        <a:srcRect l="43750" t="30833" b="30121"/>
        <a:stretch/>
      </xdr:blipFill>
      <xdr:spPr>
        <a:xfrm>
          <a:off x="200025" y="390525"/>
          <a:ext cx="3419475" cy="82867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65EE1F61-4EFE-4DF3-800C-339962B6AC5A}"/>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107001</xdr:colOff>
      <xdr:row>0</xdr:row>
      <xdr:rowOff>102342</xdr:rowOff>
    </xdr:from>
    <xdr:to>
      <xdr:col>2</xdr:col>
      <xdr:colOff>192455</xdr:colOff>
      <xdr:row>2</xdr:row>
      <xdr:rowOff>237205</xdr:rowOff>
    </xdr:to>
    <xdr:pic>
      <xdr:nvPicPr>
        <xdr:cNvPr id="15" name="Picture 1">
          <a:extLst>
            <a:ext uri="{FF2B5EF4-FFF2-40B4-BE49-F238E27FC236}">
              <a16:creationId xmlns:a16="http://schemas.microsoft.com/office/drawing/2014/main" id="{3A5661EC-5734-479D-8AB7-9D8C94284B0A}"/>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17746" y="102342"/>
          <a:ext cx="4114529" cy="1470903"/>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2D4DDC7F-83E0-221E-A298-3A4A12592239}"/>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X16A0T</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170089</xdr:colOff>
      <xdr:row>1</xdr:row>
      <xdr:rowOff>81643</xdr:rowOff>
    </xdr:from>
    <xdr:to>
      <xdr:col>11</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C591DB32-D307-4C0B-B6CD-1BD62FC05CC3}"/>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24974</xdr:colOff>
      <xdr:row>1</xdr:row>
      <xdr:rowOff>95250</xdr:rowOff>
    </xdr:from>
    <xdr:to>
      <xdr:col>1</xdr:col>
      <xdr:colOff>3013198</xdr:colOff>
      <xdr:row>1</xdr:row>
      <xdr:rowOff>917575</xdr:rowOff>
    </xdr:to>
    <xdr:pic>
      <xdr:nvPicPr>
        <xdr:cNvPr id="12" name="Picture 1">
          <a:extLst>
            <a:ext uri="{FF2B5EF4-FFF2-40B4-BE49-F238E27FC236}">
              <a16:creationId xmlns:a16="http://schemas.microsoft.com/office/drawing/2014/main" id="{776FC4C6-DF9E-4326-817D-0F9786EB64AE}"/>
            </a:ext>
            <a:ext uri="{147F2762-F138-4A5C-976F-8EAC2B608ADB}">
              <a16:predDERef xmlns:a16="http://schemas.microsoft.com/office/drawing/2014/main" pred="{C591DB32-D307-4C0B-B6CD-1BD62FC05CC3}"/>
            </a:ext>
          </a:extLst>
        </xdr:cNvPr>
        <xdr:cNvPicPr>
          <a:picLocks noChangeAspect="1"/>
        </xdr:cNvPicPr>
      </xdr:nvPicPr>
      <xdr:blipFill>
        <a:blip xmlns:r="http://schemas.openxmlformats.org/officeDocument/2006/relationships" r:embed="rId2"/>
        <a:srcRect l="51036" t="30833" b="30121"/>
        <a:stretch/>
      </xdr:blipFill>
      <xdr:spPr>
        <a:xfrm>
          <a:off x="335719" y="405995"/>
          <a:ext cx="2992034"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7168C3E1-8892-61A2-BCDA-784D989B77F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X17A0T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8708972</xdr:colOff>
      <xdr:row>1</xdr:row>
      <xdr:rowOff>81643</xdr:rowOff>
    </xdr:from>
    <xdr:to>
      <xdr:col>4</xdr:col>
      <xdr:colOff>9890622</xdr:colOff>
      <xdr:row>1</xdr:row>
      <xdr:rowOff>272143</xdr:rowOff>
    </xdr:to>
    <xdr:sp macro="" textlink="">
      <xdr:nvSpPr>
        <xdr:cNvPr id="4" name="TextBox 3">
          <a:hlinkClick xmlns:r="http://schemas.openxmlformats.org/officeDocument/2006/relationships" r:id="rId1"/>
          <a:extLst>
            <a:ext uri="{FF2B5EF4-FFF2-40B4-BE49-F238E27FC236}">
              <a16:creationId xmlns:a16="http://schemas.microsoft.com/office/drawing/2014/main" id="{89D12121-4EE6-4DDB-8F8A-35E4FD17B1AA}"/>
            </a:ext>
          </a:extLst>
        </xdr:cNvPr>
        <xdr:cNvSpPr txBox="1"/>
      </xdr:nvSpPr>
      <xdr:spPr>
        <a:xfrm>
          <a:off x="26055678" y="395408"/>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124944</xdr:colOff>
      <xdr:row>0</xdr:row>
      <xdr:rowOff>147968</xdr:rowOff>
    </xdr:from>
    <xdr:to>
      <xdr:col>2</xdr:col>
      <xdr:colOff>1234724</xdr:colOff>
      <xdr:row>2</xdr:row>
      <xdr:rowOff>166408</xdr:rowOff>
    </xdr:to>
    <xdr:pic>
      <xdr:nvPicPr>
        <xdr:cNvPr id="20" name="Picture 4">
          <a:extLst>
            <a:ext uri="{FF2B5EF4-FFF2-40B4-BE49-F238E27FC236}">
              <a16:creationId xmlns:a16="http://schemas.microsoft.com/office/drawing/2014/main" id="{639599D9-A7C1-4D60-BE5A-60EF2B3767E9}"/>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30685" y="147968"/>
          <a:ext cx="3955520" cy="1347236"/>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37ED87BF-6FE1-AB97-5106-3557E0A9A031}"/>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X18A0T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7602641B-75BB-4CB9-9E02-1B57ECB1D25A}"/>
            </a:ext>
          </a:extLst>
        </xdr:cNvPr>
        <xdr:cNvSpPr txBox="1"/>
      </xdr:nvSpPr>
      <xdr:spPr>
        <a:xfrm>
          <a:off x="19112139" y="39279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463550</xdr:colOff>
      <xdr:row>1</xdr:row>
      <xdr:rowOff>158750</xdr:rowOff>
    </xdr:from>
    <xdr:to>
      <xdr:col>1</xdr:col>
      <xdr:colOff>2967990</xdr:colOff>
      <xdr:row>1</xdr:row>
      <xdr:rowOff>835025</xdr:rowOff>
    </xdr:to>
    <xdr:pic>
      <xdr:nvPicPr>
        <xdr:cNvPr id="3" name="Picture 2">
          <a:extLst>
            <a:ext uri="{FF2B5EF4-FFF2-40B4-BE49-F238E27FC236}">
              <a16:creationId xmlns:a16="http://schemas.microsoft.com/office/drawing/2014/main" id="{0D37A0F1-31AD-A84E-43E2-B89710ED3676}"/>
            </a:ext>
            <a:ext uri="{147F2762-F138-4A5C-976F-8EAC2B608ADB}">
              <a16:predDERef xmlns:a16="http://schemas.microsoft.com/office/drawing/2014/main" pred="{7602641B-75BB-4CB9-9E02-1B57ECB1D25A}"/>
            </a:ext>
          </a:extLst>
        </xdr:cNvPr>
        <xdr:cNvPicPr>
          <a:picLocks noChangeAspect="1"/>
        </xdr:cNvPicPr>
      </xdr:nvPicPr>
      <xdr:blipFill>
        <a:blip xmlns:r="http://schemas.openxmlformats.org/officeDocument/2006/relationships" r:embed="rId2"/>
        <a:stretch>
          <a:fillRect/>
        </a:stretch>
      </xdr:blipFill>
      <xdr:spPr>
        <a:xfrm>
          <a:off x="781050" y="476250"/>
          <a:ext cx="248920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4" name="TextBox 3">
          <a:extLst>
            <a:ext uri="{FF2B5EF4-FFF2-40B4-BE49-F238E27FC236}">
              <a16:creationId xmlns:a16="http://schemas.microsoft.com/office/drawing/2014/main" id="{A7698246-405B-7D3C-C186-D273478719CB}"/>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X2A0T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228E4CF9-6AAD-4041-861D-5A78A4ECB551}"/>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230909</xdr:colOff>
      <xdr:row>1</xdr:row>
      <xdr:rowOff>92364</xdr:rowOff>
    </xdr:from>
    <xdr:to>
      <xdr:col>1</xdr:col>
      <xdr:colOff>3355109</xdr:colOff>
      <xdr:row>1</xdr:row>
      <xdr:rowOff>917229</xdr:rowOff>
    </xdr:to>
    <xdr:pic>
      <xdr:nvPicPr>
        <xdr:cNvPr id="4" name="Picture 3">
          <a:extLst>
            <a:ext uri="{FF2B5EF4-FFF2-40B4-BE49-F238E27FC236}">
              <a16:creationId xmlns:a16="http://schemas.microsoft.com/office/drawing/2014/main" id="{0AEC1D04-95BA-ABF8-8714-9EC7061FFA46}"/>
            </a:ext>
            <a:ext uri="{147F2762-F138-4A5C-976F-8EAC2B608ADB}">
              <a16:predDERef xmlns:a16="http://schemas.microsoft.com/office/drawing/2014/main" pred="{228E4CF9-6AAD-4041-861D-5A78A4ECB551}"/>
            </a:ext>
          </a:extLst>
        </xdr:cNvPr>
        <xdr:cNvPicPr>
          <a:picLocks noChangeAspect="1"/>
        </xdr:cNvPicPr>
      </xdr:nvPicPr>
      <xdr:blipFill>
        <a:blip xmlns:r="http://schemas.openxmlformats.org/officeDocument/2006/relationships" r:embed="rId2"/>
        <a:srcRect l="43750" t="30833" b="30121"/>
        <a:stretch/>
      </xdr:blipFill>
      <xdr:spPr>
        <a:xfrm>
          <a:off x="230909" y="409864"/>
          <a:ext cx="3441700" cy="8318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DA6696F5-4B56-449B-6081-B5A7F76F40C6}"/>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X3A0T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62938E9-928C-4A71-960A-A0A4DAF8C056}"/>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61041</xdr:colOff>
      <xdr:row>0</xdr:row>
      <xdr:rowOff>252345</xdr:rowOff>
    </xdr:from>
    <xdr:to>
      <xdr:col>1</xdr:col>
      <xdr:colOff>3310960</xdr:colOff>
      <xdr:row>2</xdr:row>
      <xdr:rowOff>134155</xdr:rowOff>
    </xdr:to>
    <xdr:pic>
      <xdr:nvPicPr>
        <xdr:cNvPr id="3" name="Picture 2">
          <a:extLst>
            <a:ext uri="{FF2B5EF4-FFF2-40B4-BE49-F238E27FC236}">
              <a16:creationId xmlns:a16="http://schemas.microsoft.com/office/drawing/2014/main" id="{2CE5B012-82E6-0F4A-0CF8-1B129CCC68B2}"/>
            </a:ext>
            <a:ext uri="{147F2762-F138-4A5C-976F-8EAC2B608ADB}">
              <a16:predDERef xmlns:a16="http://schemas.microsoft.com/office/drawing/2014/main" pred="{862938E9-928C-4A71-960A-A0A4DAF8C056}"/>
            </a:ext>
          </a:extLst>
        </xdr:cNvPr>
        <xdr:cNvPicPr>
          <a:picLocks noChangeAspect="1"/>
        </xdr:cNvPicPr>
      </xdr:nvPicPr>
      <xdr:blipFill>
        <a:blip xmlns:r="http://schemas.openxmlformats.org/officeDocument/2006/relationships" r:embed="rId2"/>
        <a:stretch>
          <a:fillRect/>
        </a:stretch>
      </xdr:blipFill>
      <xdr:spPr>
        <a:xfrm>
          <a:off x="356182" y="252345"/>
          <a:ext cx="3249919" cy="1223359"/>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11B184F7-168B-D5B9-89B8-A1EEB5A95CB4}"/>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X4A0T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82091</xdr:colOff>
      <xdr:row>1</xdr:row>
      <xdr:rowOff>84818</xdr:rowOff>
    </xdr:from>
    <xdr:to>
      <xdr:col>30</xdr:col>
      <xdr:colOff>939891</xdr:colOff>
      <xdr:row>1</xdr:row>
      <xdr:rowOff>275318</xdr:rowOff>
    </xdr:to>
    <xdr:sp macro="" textlink="">
      <xdr:nvSpPr>
        <xdr:cNvPr id="8" name="TextBox 7">
          <a:hlinkClick xmlns:r="http://schemas.openxmlformats.org/officeDocument/2006/relationships" r:id="rId1"/>
          <a:extLst>
            <a:ext uri="{FF2B5EF4-FFF2-40B4-BE49-F238E27FC236}">
              <a16:creationId xmlns:a16="http://schemas.microsoft.com/office/drawing/2014/main" id="{0EC78D61-8DA7-410D-9809-8082DEC2A7A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0</xdr:row>
      <xdr:rowOff>85725</xdr:rowOff>
    </xdr:from>
    <xdr:to>
      <xdr:col>1</xdr:col>
      <xdr:colOff>4076700</xdr:colOff>
      <xdr:row>2</xdr:row>
      <xdr:rowOff>219075</xdr:rowOff>
    </xdr:to>
    <xdr:pic>
      <xdr:nvPicPr>
        <xdr:cNvPr id="2" name="Picture 1">
          <a:extLst>
            <a:ext uri="{FF2B5EF4-FFF2-40B4-BE49-F238E27FC236}">
              <a16:creationId xmlns:a16="http://schemas.microsoft.com/office/drawing/2014/main" id="{E5042041-D110-4D15-8068-62BA92230D61}"/>
            </a:ext>
            <a:ext uri="{147F2762-F138-4A5C-976F-8EAC2B608ADB}">
              <a16:predDERef xmlns:a16="http://schemas.microsoft.com/office/drawing/2014/main" pred="{0EC78D61-8DA7-410D-9809-8082DEC2A7AF}"/>
            </a:ext>
          </a:extLst>
        </xdr:cNvPr>
        <xdr:cNvPicPr>
          <a:picLocks noChangeAspect="1"/>
        </xdr:cNvPicPr>
      </xdr:nvPicPr>
      <xdr:blipFill>
        <a:blip xmlns:r="http://schemas.openxmlformats.org/officeDocument/2006/relationships" r:embed="rId2"/>
        <a:stretch>
          <a:fillRect/>
        </a:stretch>
      </xdr:blipFill>
      <xdr:spPr>
        <a:xfrm>
          <a:off x="479425" y="85725"/>
          <a:ext cx="3914775" cy="1476619"/>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5A892C6F-53E3-CA30-8213-5C546E97D562}"/>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X5A0T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33</xdr:col>
      <xdr:colOff>82091</xdr:colOff>
      <xdr:row>1</xdr:row>
      <xdr:rowOff>84818</xdr:rowOff>
    </xdr:from>
    <xdr:to>
      <xdr:col>33</xdr:col>
      <xdr:colOff>939891</xdr:colOff>
      <xdr:row>1</xdr:row>
      <xdr:rowOff>275318</xdr:rowOff>
    </xdr:to>
    <xdr:sp macro="" textlink="">
      <xdr:nvSpPr>
        <xdr:cNvPr id="6" name="TextBox 5">
          <a:hlinkClick xmlns:r="http://schemas.openxmlformats.org/officeDocument/2006/relationships" r:id="rId1"/>
          <a:extLst>
            <a:ext uri="{FF2B5EF4-FFF2-40B4-BE49-F238E27FC236}">
              <a16:creationId xmlns:a16="http://schemas.microsoft.com/office/drawing/2014/main" id="{FC05B2C9-B959-45B4-A692-79BFA8FFF67B}"/>
            </a:ext>
          </a:extLst>
        </xdr:cNvPr>
        <xdr:cNvSpPr txBox="1"/>
      </xdr:nvSpPr>
      <xdr:spPr>
        <a:xfrm>
          <a:off x="33486826" y="398583"/>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314325</xdr:colOff>
      <xdr:row>1</xdr:row>
      <xdr:rowOff>171450</xdr:rowOff>
    </xdr:from>
    <xdr:to>
      <xdr:col>1</xdr:col>
      <xdr:colOff>2800350</xdr:colOff>
      <xdr:row>1</xdr:row>
      <xdr:rowOff>838200</xdr:rowOff>
    </xdr:to>
    <xdr:pic>
      <xdr:nvPicPr>
        <xdr:cNvPr id="2" name="Picture 1">
          <a:extLst>
            <a:ext uri="{FF2B5EF4-FFF2-40B4-BE49-F238E27FC236}">
              <a16:creationId xmlns:a16="http://schemas.microsoft.com/office/drawing/2014/main" id="{1E7646F1-CC0A-4074-9D4F-B7B59A3D5B5D}"/>
            </a:ext>
            <a:ext uri="{147F2762-F138-4A5C-976F-8EAC2B608ADB}">
              <a16:predDERef xmlns:a16="http://schemas.microsoft.com/office/drawing/2014/main" pred="{FC05B2C9-B959-45B4-A692-79BFA8FFF67B}"/>
            </a:ext>
          </a:extLst>
        </xdr:cNvPr>
        <xdr:cNvPicPr>
          <a:picLocks noChangeAspect="1"/>
        </xdr:cNvPicPr>
      </xdr:nvPicPr>
      <xdr:blipFill>
        <a:blip xmlns:r="http://schemas.openxmlformats.org/officeDocument/2006/relationships" r:embed="rId2"/>
        <a:stretch>
          <a:fillRect/>
        </a:stretch>
      </xdr:blipFill>
      <xdr:spPr>
        <a:xfrm>
          <a:off x="609600" y="476250"/>
          <a:ext cx="2486025" cy="6667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30</xdr:col>
      <xdr:colOff>82091</xdr:colOff>
      <xdr:row>1</xdr:row>
      <xdr:rowOff>84818</xdr:rowOff>
    </xdr:from>
    <xdr:to>
      <xdr:col>30</xdr:col>
      <xdr:colOff>939891</xdr:colOff>
      <xdr:row>1</xdr:row>
      <xdr:rowOff>275318</xdr:rowOff>
    </xdr:to>
    <xdr:sp macro="" textlink="">
      <xdr:nvSpPr>
        <xdr:cNvPr id="4" name="TextBox 3">
          <a:hlinkClick xmlns:r="http://schemas.openxmlformats.org/officeDocument/2006/relationships" r:id="rId1"/>
          <a:extLst>
            <a:ext uri="{FF2B5EF4-FFF2-40B4-BE49-F238E27FC236}">
              <a16:creationId xmlns:a16="http://schemas.microsoft.com/office/drawing/2014/main" id="{4D35F110-3E6F-4224-80D0-26CB292CA18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171450</xdr:colOff>
      <xdr:row>1</xdr:row>
      <xdr:rowOff>114300</xdr:rowOff>
    </xdr:from>
    <xdr:to>
      <xdr:col>1</xdr:col>
      <xdr:colOff>3295650</xdr:colOff>
      <xdr:row>1</xdr:row>
      <xdr:rowOff>939800</xdr:rowOff>
    </xdr:to>
    <xdr:pic>
      <xdr:nvPicPr>
        <xdr:cNvPr id="2" name="Picture 1">
          <a:extLst>
            <a:ext uri="{FF2B5EF4-FFF2-40B4-BE49-F238E27FC236}">
              <a16:creationId xmlns:a16="http://schemas.microsoft.com/office/drawing/2014/main" id="{AD850559-4FE5-417E-B9C0-F241A9BBF5DE}"/>
            </a:ext>
            <a:ext uri="{147F2762-F138-4A5C-976F-8EAC2B608ADB}">
              <a16:predDERef xmlns:a16="http://schemas.microsoft.com/office/drawing/2014/main" pred="{4D35F110-3E6F-4224-80D0-26CB292CA18F}"/>
            </a:ext>
          </a:extLst>
        </xdr:cNvPr>
        <xdr:cNvPicPr>
          <a:picLocks noChangeAspect="1"/>
        </xdr:cNvPicPr>
      </xdr:nvPicPr>
      <xdr:blipFill>
        <a:blip xmlns:r="http://schemas.openxmlformats.org/officeDocument/2006/relationships" r:embed="rId2"/>
        <a:srcRect l="43750" t="30833" b="30121"/>
        <a:stretch/>
      </xdr:blipFill>
      <xdr:spPr>
        <a:xfrm>
          <a:off x="171450" y="419100"/>
          <a:ext cx="3419475"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BDCF42C-A61C-CC21-B534-4555F9C59E2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X7A0T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170089</xdr:colOff>
      <xdr:row>1</xdr:row>
      <xdr:rowOff>81643</xdr:rowOff>
    </xdr:from>
    <xdr:to>
      <xdr:col>10</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65C3A0E0-02D7-47B1-B13C-F741075360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114300</xdr:colOff>
      <xdr:row>1</xdr:row>
      <xdr:rowOff>171450</xdr:rowOff>
    </xdr:from>
    <xdr:to>
      <xdr:col>1</xdr:col>
      <xdr:colOff>2593975</xdr:colOff>
      <xdr:row>1</xdr:row>
      <xdr:rowOff>838200</xdr:rowOff>
    </xdr:to>
    <xdr:pic>
      <xdr:nvPicPr>
        <xdr:cNvPr id="2" name="Picture 1">
          <a:extLst>
            <a:ext uri="{FF2B5EF4-FFF2-40B4-BE49-F238E27FC236}">
              <a16:creationId xmlns:a16="http://schemas.microsoft.com/office/drawing/2014/main" id="{21338E8A-4FD8-468C-9B13-99D1666ED5B9}"/>
            </a:ext>
            <a:ext uri="{147F2762-F138-4A5C-976F-8EAC2B608ADB}">
              <a16:predDERef xmlns:a16="http://schemas.microsoft.com/office/drawing/2014/main" pred="{65C3A0E0-02D7-47B1-B13C-F741075360A7}"/>
            </a:ext>
          </a:extLst>
        </xdr:cNvPr>
        <xdr:cNvPicPr>
          <a:picLocks noChangeAspect="1"/>
        </xdr:cNvPicPr>
      </xdr:nvPicPr>
      <xdr:blipFill>
        <a:blip xmlns:r="http://schemas.openxmlformats.org/officeDocument/2006/relationships" r:embed="rId2"/>
        <a:stretch>
          <a:fillRect/>
        </a:stretch>
      </xdr:blipFill>
      <xdr:spPr>
        <a:xfrm>
          <a:off x="409575" y="476250"/>
          <a:ext cx="2486025"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731094C0-2C85-CAF9-A14B-A62178E2BBFD}"/>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X8A0T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170089</xdr:colOff>
      <xdr:row>1</xdr:row>
      <xdr:rowOff>81643</xdr:rowOff>
    </xdr:from>
    <xdr:to>
      <xdr:col>13</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F22AAB4-F1A3-45EB-81D2-778AD8A6BD55}"/>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9525</xdr:colOff>
      <xdr:row>0</xdr:row>
      <xdr:rowOff>114300</xdr:rowOff>
    </xdr:from>
    <xdr:to>
      <xdr:col>1</xdr:col>
      <xdr:colOff>3924300</xdr:colOff>
      <xdr:row>2</xdr:row>
      <xdr:rowOff>250190</xdr:rowOff>
    </xdr:to>
    <xdr:pic>
      <xdr:nvPicPr>
        <xdr:cNvPr id="2" name="Picture 1">
          <a:extLst>
            <a:ext uri="{FF2B5EF4-FFF2-40B4-BE49-F238E27FC236}">
              <a16:creationId xmlns:a16="http://schemas.microsoft.com/office/drawing/2014/main" id="{FF7CF47C-68AB-4DAC-BC42-AAE3C2907007}"/>
            </a:ext>
            <a:ext uri="{147F2762-F138-4A5C-976F-8EAC2B608ADB}">
              <a16:predDERef xmlns:a16="http://schemas.microsoft.com/office/drawing/2014/main" pred="{8F22AAB4-F1A3-45EB-81D2-778AD8A6BD55}"/>
            </a:ext>
          </a:extLst>
        </xdr:cNvPr>
        <xdr:cNvPicPr>
          <a:picLocks noChangeAspect="1"/>
        </xdr:cNvPicPr>
      </xdr:nvPicPr>
      <xdr:blipFill>
        <a:blip xmlns:r="http://schemas.openxmlformats.org/officeDocument/2006/relationships" r:embed="rId2"/>
        <a:stretch>
          <a:fillRect/>
        </a:stretch>
      </xdr:blipFill>
      <xdr:spPr>
        <a:xfrm>
          <a:off x="304800" y="114300"/>
          <a:ext cx="3914775" cy="14668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gresb.com/nl-en/"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gresb.com/nl-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7912-EB38-4EBC-BB9F-85B6E5134810}">
  <sheetPr>
    <tabColor theme="4" tint="-0.499984740745262"/>
    <pageSetUpPr fitToPage="1"/>
  </sheetPr>
  <dimension ref="B1:XFC73"/>
  <sheetViews>
    <sheetView showGridLines="0" tabSelected="1" zoomScale="60" zoomScaleNormal="60" workbookViewId="0">
      <selection activeCell="G4" sqref="G4"/>
    </sheetView>
  </sheetViews>
  <sheetFormatPr defaultColWidth="0" defaultRowHeight="0" customHeight="1" zeroHeight="1" x14ac:dyDescent="0.25"/>
  <cols>
    <col min="1" max="1" width="4.42578125" customWidth="1"/>
    <col min="2" max="4" width="8.5703125" customWidth="1"/>
    <col min="5" max="5" width="8.42578125" customWidth="1"/>
    <col min="6" max="6" width="9.5703125" customWidth="1"/>
    <col min="7" max="24" width="8.5703125" customWidth="1"/>
    <col min="25" max="25" width="7.5703125" customWidth="1"/>
    <col min="26" max="26" width="1" customWidth="1"/>
    <col min="27" max="27" width="0.42578125" customWidth="1"/>
    <col min="28" max="28" width="1.5703125" hidden="1" customWidth="1"/>
    <col min="29" max="29" width="2.5703125" hidden="1" customWidth="1"/>
    <col min="30" max="30" width="8.5703125" hidden="1" customWidth="1"/>
    <col min="31" max="31" width="3.5703125" customWidth="1"/>
    <col min="32" max="16383" width="8.5703125" hidden="1"/>
    <col min="16384" max="16384" width="0.5703125" customWidth="1"/>
  </cols>
  <sheetData>
    <row r="1" spans="2:30" ht="20.25" customHeight="1" x14ac:dyDescent="0.25"/>
    <row r="2" spans="2:30" ht="24.6" customHeight="1" x14ac:dyDescent="0.25"/>
    <row r="3" spans="2:30" ht="15" x14ac:dyDescent="0.25">
      <c r="Z3" s="909"/>
      <c r="AA3" s="909"/>
      <c r="AB3" s="909"/>
      <c r="AC3" s="909"/>
      <c r="AD3" s="909"/>
    </row>
    <row r="4" spans="2:30" ht="15" x14ac:dyDescent="0.25"/>
    <row r="5" spans="2:30" ht="15" x14ac:dyDescent="0.25"/>
    <row r="6" spans="2:30" ht="15" x14ac:dyDescent="0.25"/>
    <row r="7" spans="2:30" ht="38.1" customHeight="1" x14ac:dyDescent="0.25">
      <c r="B7" s="910" t="s">
        <v>0</v>
      </c>
      <c r="C7" s="910"/>
      <c r="D7" s="910"/>
      <c r="E7" s="910"/>
      <c r="G7" s="901" t="s">
        <v>1</v>
      </c>
      <c r="H7" s="901"/>
      <c r="I7" s="901"/>
      <c r="J7" s="901"/>
      <c r="K7" s="901"/>
      <c r="L7" s="901"/>
      <c r="M7" s="901"/>
      <c r="N7" s="901"/>
      <c r="O7" s="901"/>
      <c r="P7" s="901"/>
      <c r="Q7" s="901"/>
      <c r="R7" s="901"/>
      <c r="S7" s="901"/>
      <c r="T7" s="901"/>
      <c r="U7" s="901"/>
      <c r="V7" s="901"/>
      <c r="W7" s="901"/>
      <c r="X7" s="901"/>
      <c r="Y7" s="901"/>
      <c r="Z7" s="901"/>
      <c r="AA7" s="901"/>
      <c r="AB7" s="901"/>
      <c r="AC7" s="901"/>
      <c r="AD7" s="901"/>
    </row>
    <row r="8" spans="2:30" ht="146.85" customHeight="1" x14ac:dyDescent="0.25">
      <c r="G8" s="905" t="s">
        <v>637</v>
      </c>
      <c r="H8" s="906"/>
      <c r="I8" s="906"/>
      <c r="J8" s="906"/>
      <c r="K8" s="906"/>
      <c r="L8" s="906"/>
      <c r="M8" s="906"/>
      <c r="N8" s="906"/>
      <c r="O8" s="906"/>
      <c r="P8" s="906"/>
      <c r="Q8" s="906"/>
      <c r="R8" s="906"/>
      <c r="S8" s="906"/>
      <c r="T8" s="906"/>
      <c r="U8" s="906"/>
      <c r="V8" s="906"/>
      <c r="W8" s="906"/>
      <c r="X8" s="906"/>
      <c r="Y8" s="906"/>
    </row>
    <row r="9" spans="2:30" ht="15" customHeight="1" x14ac:dyDescent="0.25">
      <c r="G9" s="911"/>
      <c r="H9" s="911"/>
      <c r="I9" s="911"/>
      <c r="J9" s="911"/>
      <c r="K9" s="911"/>
      <c r="L9" s="911"/>
      <c r="M9" s="911"/>
      <c r="N9" s="911"/>
      <c r="O9" s="911"/>
      <c r="P9" s="911"/>
      <c r="Q9" s="911"/>
      <c r="R9" s="911"/>
      <c r="S9" s="911"/>
      <c r="T9" s="911"/>
      <c r="U9" s="911"/>
      <c r="V9" s="911"/>
      <c r="W9" s="911"/>
      <c r="X9" s="911"/>
      <c r="Y9" s="911"/>
      <c r="Z9" s="911"/>
      <c r="AA9" s="911"/>
      <c r="AB9" s="911"/>
      <c r="AC9" s="911"/>
      <c r="AD9" s="911"/>
    </row>
    <row r="10" spans="2:30" ht="15" customHeight="1" x14ac:dyDescent="0.25">
      <c r="B10" s="908"/>
      <c r="C10" s="908"/>
      <c r="D10" s="908"/>
      <c r="E10" s="908"/>
      <c r="G10" s="911"/>
      <c r="H10" s="911"/>
      <c r="I10" s="911"/>
      <c r="J10" s="911"/>
      <c r="K10" s="911"/>
      <c r="L10" s="911"/>
      <c r="M10" s="911"/>
      <c r="N10" s="911"/>
      <c r="O10" s="911"/>
      <c r="P10" s="911"/>
      <c r="Q10" s="911"/>
      <c r="R10" s="911"/>
      <c r="S10" s="911"/>
      <c r="T10" s="911"/>
      <c r="U10" s="911"/>
      <c r="V10" s="911"/>
      <c r="W10" s="911"/>
      <c r="X10" s="911"/>
      <c r="Y10" s="911"/>
      <c r="Z10" s="911"/>
      <c r="AA10" s="911"/>
      <c r="AB10" s="911"/>
      <c r="AC10" s="911"/>
      <c r="AD10" s="911"/>
    </row>
    <row r="11" spans="2:30" ht="15" x14ac:dyDescent="0.25">
      <c r="G11" s="37"/>
    </row>
    <row r="12" spans="2:30" ht="38.1" customHeight="1" x14ac:dyDescent="0.25">
      <c r="B12" s="908"/>
      <c r="C12" s="908"/>
      <c r="D12" s="908"/>
      <c r="E12" s="908"/>
      <c r="G12" s="901" t="s">
        <v>2</v>
      </c>
      <c r="H12" s="901"/>
      <c r="I12" s="901"/>
      <c r="J12" s="901"/>
      <c r="K12" s="901"/>
      <c r="L12" s="901"/>
      <c r="M12" s="901"/>
      <c r="N12" s="901"/>
      <c r="O12" s="901"/>
      <c r="P12" s="901"/>
      <c r="Q12" s="901"/>
      <c r="R12" s="901"/>
      <c r="S12" s="901"/>
      <c r="T12" s="901"/>
      <c r="U12" s="901"/>
      <c r="V12" s="901"/>
      <c r="W12" s="901"/>
      <c r="X12" s="901"/>
      <c r="Y12" s="901"/>
      <c r="Z12" s="901"/>
      <c r="AA12" s="901"/>
      <c r="AB12" s="901"/>
      <c r="AC12" s="901"/>
      <c r="AD12" s="901"/>
    </row>
    <row r="13" spans="2:30" ht="129.75" customHeight="1" x14ac:dyDescent="0.25">
      <c r="G13" s="905" t="s">
        <v>3</v>
      </c>
      <c r="H13" s="906"/>
      <c r="I13" s="906"/>
      <c r="J13" s="906"/>
      <c r="K13" s="906"/>
      <c r="L13" s="906"/>
      <c r="M13" s="906"/>
      <c r="N13" s="906"/>
      <c r="O13" s="906"/>
      <c r="P13" s="906"/>
      <c r="Q13" s="906"/>
      <c r="R13" s="906"/>
      <c r="S13" s="906"/>
      <c r="T13" s="906"/>
      <c r="U13" s="906"/>
      <c r="V13" s="906"/>
      <c r="W13" s="906"/>
      <c r="X13" s="906"/>
      <c r="Y13" s="906"/>
      <c r="Z13" s="906"/>
    </row>
    <row r="14" spans="2:30" ht="15" x14ac:dyDescent="0.25">
      <c r="G14" s="88"/>
      <c r="H14" s="2"/>
      <c r="I14" s="2"/>
      <c r="J14" s="2"/>
      <c r="K14" s="2"/>
      <c r="L14" s="2"/>
      <c r="M14" s="2"/>
      <c r="N14" s="2"/>
      <c r="O14" s="2"/>
      <c r="P14" s="2"/>
      <c r="Q14" s="2"/>
      <c r="R14" s="2"/>
      <c r="S14" s="2"/>
      <c r="T14" s="2"/>
      <c r="U14" s="2"/>
      <c r="V14" s="2"/>
      <c r="W14" s="2"/>
      <c r="X14" s="2"/>
      <c r="Y14" s="2"/>
      <c r="Z14" s="2"/>
    </row>
    <row r="15" spans="2:30" ht="15" x14ac:dyDescent="0.25">
      <c r="G15" s="37"/>
    </row>
    <row r="16" spans="2:30" ht="38.1" customHeight="1" x14ac:dyDescent="0.25">
      <c r="G16" s="901" t="s">
        <v>4</v>
      </c>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row>
    <row r="17" spans="2:30" ht="43.5" customHeight="1" x14ac:dyDescent="0.25">
      <c r="G17" s="907" t="s">
        <v>5</v>
      </c>
      <c r="H17" s="907"/>
      <c r="I17" s="907"/>
      <c r="J17" s="907"/>
      <c r="K17" s="907"/>
      <c r="L17" s="907"/>
      <c r="M17" s="907"/>
      <c r="N17" s="907"/>
      <c r="O17" s="907"/>
      <c r="P17" s="907"/>
      <c r="Q17" s="907"/>
      <c r="R17" s="907"/>
      <c r="S17" s="907"/>
      <c r="T17" s="907"/>
      <c r="U17" s="907"/>
      <c r="V17" s="907"/>
      <c r="W17" s="907"/>
      <c r="X17" s="907"/>
      <c r="Y17" s="907"/>
      <c r="Z17" s="907"/>
      <c r="AA17" s="502"/>
      <c r="AB17" s="502"/>
      <c r="AC17" s="502"/>
      <c r="AD17" s="502"/>
    </row>
    <row r="18" spans="2:30" ht="14.85" customHeight="1" x14ac:dyDescent="0.25">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row>
    <row r="19" spans="2:30" ht="14.85" customHeight="1" x14ac:dyDescent="0.25">
      <c r="G19" s="502"/>
      <c r="H19" s="502"/>
      <c r="I19" s="502"/>
      <c r="J19" s="502"/>
      <c r="K19" s="502"/>
      <c r="L19" s="502"/>
      <c r="M19" s="502"/>
      <c r="N19" s="502"/>
      <c r="O19" s="502"/>
      <c r="P19" s="502"/>
      <c r="Q19" s="502"/>
      <c r="R19" s="502"/>
      <c r="S19" s="502"/>
      <c r="T19" s="502"/>
      <c r="U19" s="502"/>
      <c r="V19" s="502"/>
      <c r="W19" s="502"/>
      <c r="X19" s="502"/>
      <c r="Y19" s="502"/>
      <c r="Z19" s="502"/>
      <c r="AA19" s="502"/>
      <c r="AB19" s="502"/>
      <c r="AC19" s="502"/>
      <c r="AD19" s="502"/>
    </row>
    <row r="20" spans="2:30" ht="14.25" customHeight="1" x14ac:dyDescent="0.25">
      <c r="G20" s="502"/>
      <c r="H20" s="502"/>
      <c r="I20" s="502"/>
      <c r="J20" s="502"/>
      <c r="K20" s="502"/>
      <c r="L20" s="502"/>
      <c r="M20" s="502"/>
      <c r="N20" s="502"/>
      <c r="O20" s="502"/>
      <c r="P20" s="502"/>
      <c r="Q20" s="502"/>
      <c r="R20" s="502"/>
      <c r="S20" s="502"/>
      <c r="T20" s="502"/>
      <c r="U20" s="502"/>
      <c r="V20" s="502"/>
      <c r="W20" s="502"/>
      <c r="X20" s="502"/>
      <c r="Y20" s="502"/>
      <c r="Z20" s="502"/>
      <c r="AA20" s="502"/>
      <c r="AB20" s="502"/>
      <c r="AC20" s="502"/>
      <c r="AD20" s="502"/>
    </row>
    <row r="21" spans="2:30" ht="14.25" customHeight="1" x14ac:dyDescent="0.25">
      <c r="B21" s="908"/>
      <c r="C21" s="908"/>
      <c r="D21" s="908"/>
      <c r="E21" s="908"/>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row>
    <row r="22" spans="2:30" ht="14.25" customHeight="1" x14ac:dyDescent="0.25">
      <c r="G22" s="502"/>
      <c r="H22" s="502"/>
      <c r="I22" s="502"/>
      <c r="J22" s="502"/>
      <c r="K22" s="502"/>
      <c r="L22" s="502"/>
      <c r="M22" s="502"/>
      <c r="N22" s="502"/>
      <c r="O22" s="502"/>
      <c r="P22" s="502"/>
      <c r="Q22" s="502"/>
      <c r="R22" s="502"/>
      <c r="S22" s="502"/>
      <c r="T22" s="502"/>
      <c r="U22" s="502"/>
      <c r="V22" s="502"/>
      <c r="W22" s="502"/>
      <c r="X22" s="502"/>
      <c r="Y22" s="502"/>
      <c r="Z22" s="502"/>
      <c r="AA22" s="502"/>
      <c r="AB22" s="502"/>
      <c r="AC22" s="502"/>
      <c r="AD22" s="502"/>
    </row>
    <row r="23" spans="2:30" ht="48" customHeight="1" x14ac:dyDescent="0.25">
      <c r="G23" s="502"/>
      <c r="H23" s="502"/>
      <c r="I23" s="502"/>
      <c r="J23" s="502"/>
      <c r="K23" s="502"/>
      <c r="L23" s="502"/>
      <c r="M23" s="502"/>
      <c r="N23" s="502"/>
      <c r="O23" s="502"/>
      <c r="P23" s="502"/>
      <c r="Q23" s="502"/>
      <c r="R23" s="502"/>
      <c r="S23" s="502"/>
      <c r="T23" s="502"/>
      <c r="U23" s="502"/>
      <c r="V23" s="502"/>
      <c r="W23" s="502"/>
      <c r="X23" s="502"/>
      <c r="Y23" s="502"/>
      <c r="Z23" s="502"/>
      <c r="AA23" s="502"/>
      <c r="AB23" s="502"/>
      <c r="AC23" s="502"/>
      <c r="AD23" s="502"/>
    </row>
    <row r="24" spans="2:30" ht="15" x14ac:dyDescent="0.25">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row>
    <row r="25" spans="2:30" ht="15" x14ac:dyDescent="0.25">
      <c r="B25" s="908"/>
      <c r="C25" s="908"/>
      <c r="D25" s="908"/>
      <c r="E25" s="908"/>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row>
    <row r="26" spans="2:30" ht="37.5" customHeight="1" x14ac:dyDescent="0.25">
      <c r="G26" s="274"/>
      <c r="H26" s="274"/>
      <c r="I26" s="274"/>
      <c r="J26" s="274"/>
      <c r="K26" s="274"/>
      <c r="L26" s="274"/>
      <c r="M26" s="274"/>
      <c r="N26" s="274"/>
      <c r="O26" s="274"/>
      <c r="P26" s="274"/>
      <c r="Q26" s="274"/>
      <c r="R26" s="274"/>
      <c r="S26" s="274"/>
      <c r="T26" s="274"/>
      <c r="U26" s="274"/>
      <c r="V26" s="274"/>
      <c r="W26" s="274"/>
      <c r="X26" s="274"/>
      <c r="Y26" s="274"/>
      <c r="Z26" s="274"/>
      <c r="AA26" s="274"/>
      <c r="AB26" s="274"/>
      <c r="AC26" s="274"/>
      <c r="AD26" s="274"/>
    </row>
    <row r="27" spans="2:30" ht="43.5" customHeight="1" x14ac:dyDescent="0.25">
      <c r="B27" s="908"/>
      <c r="C27" s="908"/>
      <c r="D27" s="908"/>
      <c r="E27" s="908"/>
      <c r="G27" s="903"/>
      <c r="H27" s="904"/>
      <c r="I27" s="904"/>
      <c r="J27" s="904"/>
      <c r="K27" s="904"/>
      <c r="L27" s="904"/>
      <c r="M27" s="904"/>
      <c r="N27" s="904"/>
      <c r="O27" s="904"/>
      <c r="P27" s="904"/>
      <c r="Q27" s="904"/>
      <c r="R27" s="904"/>
      <c r="S27" s="904"/>
      <c r="T27" s="904"/>
      <c r="U27" s="904"/>
      <c r="V27" s="904"/>
      <c r="W27" s="904"/>
      <c r="X27" s="904"/>
      <c r="Y27" s="904"/>
      <c r="Z27" s="904"/>
      <c r="AA27" s="904"/>
      <c r="AB27" s="904"/>
      <c r="AC27" s="904"/>
      <c r="AD27" s="904"/>
    </row>
    <row r="28" spans="2:30" ht="15" x14ac:dyDescent="0.25">
      <c r="B28" s="276"/>
      <c r="C28" s="275"/>
      <c r="D28" s="275"/>
      <c r="E28" s="275"/>
      <c r="G28" s="493"/>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row>
    <row r="29" spans="2:30" ht="15" x14ac:dyDescent="0.25">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row>
    <row r="30" spans="2:30" ht="15" x14ac:dyDescent="0.25">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row>
    <row r="31" spans="2:30" ht="15" x14ac:dyDescent="0.25">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row>
    <row r="32" spans="2:30" ht="15" x14ac:dyDescent="0.25">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row>
    <row r="33" spans="2:30" ht="15" x14ac:dyDescent="0.25">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row>
    <row r="34" spans="2:30" ht="15" x14ac:dyDescent="0.25">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row>
    <row r="35" spans="2:30" ht="15" x14ac:dyDescent="0.25">
      <c r="B35" s="908"/>
      <c r="C35" s="908"/>
      <c r="D35" s="908"/>
      <c r="E35" s="908"/>
    </row>
    <row r="36" spans="2:30" ht="15" x14ac:dyDescent="0.25">
      <c r="B36" s="908"/>
      <c r="C36" s="908"/>
      <c r="D36" s="908"/>
      <c r="E36" s="908"/>
    </row>
    <row r="37" spans="2:30" ht="38.1" customHeight="1" x14ac:dyDescent="0.25">
      <c r="G37" s="902"/>
      <c r="H37" s="902"/>
      <c r="I37" s="902"/>
      <c r="J37" s="902"/>
      <c r="K37" s="902"/>
      <c r="L37" s="902"/>
      <c r="M37" s="902"/>
      <c r="N37" s="902"/>
      <c r="O37" s="902"/>
      <c r="P37" s="902"/>
      <c r="Q37" s="902"/>
      <c r="R37" s="902"/>
      <c r="S37" s="902"/>
      <c r="T37" s="902"/>
      <c r="U37" s="902"/>
      <c r="V37" s="902"/>
      <c r="W37" s="902"/>
      <c r="X37" s="902"/>
      <c r="Y37" s="902"/>
      <c r="Z37" s="902"/>
      <c r="AA37" s="902"/>
      <c r="AB37" s="902"/>
      <c r="AC37" s="902"/>
      <c r="AD37" s="902"/>
    </row>
    <row r="38" spans="2:30" ht="14.85" customHeight="1" x14ac:dyDescent="0.25">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row>
    <row r="39" spans="2:30" ht="15" customHeight="1" x14ac:dyDescent="0.25">
      <c r="G39" s="501"/>
      <c r="H39" s="88"/>
      <c r="I39" s="88"/>
      <c r="J39" s="88"/>
      <c r="K39" s="88"/>
      <c r="L39" s="88"/>
      <c r="M39" s="88"/>
      <c r="N39" s="88"/>
      <c r="O39" s="88"/>
      <c r="P39" s="88"/>
      <c r="Q39" s="88"/>
      <c r="R39" s="88"/>
      <c r="S39" s="88"/>
      <c r="T39" s="88"/>
      <c r="U39" s="88"/>
      <c r="V39" s="88"/>
      <c r="W39" s="88"/>
      <c r="X39" s="88"/>
      <c r="Y39" s="88"/>
      <c r="Z39" s="88"/>
      <c r="AA39" s="88"/>
      <c r="AB39" s="88"/>
      <c r="AC39" s="88"/>
      <c r="AD39" s="88"/>
    </row>
    <row r="40" spans="2:30" ht="15" x14ac:dyDescent="0.25">
      <c r="G40" s="88"/>
      <c r="H40" s="88"/>
      <c r="I40" s="88"/>
      <c r="J40" s="88"/>
      <c r="K40" s="88"/>
      <c r="L40" s="88"/>
      <c r="M40" s="88"/>
      <c r="N40" s="88"/>
      <c r="O40" s="88"/>
      <c r="P40" s="88"/>
      <c r="Q40" s="88"/>
      <c r="R40" s="88"/>
      <c r="S40" s="88"/>
      <c r="T40" s="88"/>
      <c r="U40" s="88"/>
      <c r="V40" s="88"/>
      <c r="W40" s="88"/>
      <c r="X40" s="88"/>
      <c r="Y40" s="88"/>
      <c r="Z40" s="88"/>
      <c r="AA40" s="88"/>
      <c r="AB40" s="88"/>
      <c r="AC40" s="88"/>
      <c r="AD40" s="88"/>
    </row>
    <row r="41" spans="2:30" ht="15" x14ac:dyDescent="0.25">
      <c r="G41" s="88"/>
      <c r="H41" s="88"/>
      <c r="I41" s="88"/>
      <c r="J41" s="88"/>
      <c r="K41" s="88"/>
      <c r="L41" s="88"/>
      <c r="M41" s="88"/>
      <c r="N41" s="88"/>
      <c r="O41" s="88"/>
      <c r="P41" s="88"/>
      <c r="Q41" s="88"/>
      <c r="R41" s="88"/>
      <c r="S41" s="88"/>
      <c r="T41" s="88"/>
      <c r="U41" s="88"/>
      <c r="V41" s="88"/>
      <c r="W41" s="88"/>
      <c r="X41" s="88"/>
      <c r="Y41" s="88"/>
      <c r="Z41" s="88"/>
      <c r="AA41" s="88"/>
      <c r="AB41" s="88"/>
      <c r="AC41" s="88"/>
      <c r="AD41" s="88"/>
    </row>
    <row r="42" spans="2:30" ht="15" x14ac:dyDescent="0.25">
      <c r="G42" s="88"/>
      <c r="H42" s="88"/>
      <c r="I42" s="88"/>
      <c r="J42" s="88"/>
      <c r="K42" s="88"/>
      <c r="L42" s="88"/>
      <c r="M42" s="88"/>
      <c r="N42" s="88"/>
      <c r="O42" s="88"/>
      <c r="P42" s="88"/>
      <c r="Q42" s="88"/>
      <c r="R42" s="88"/>
      <c r="S42" s="88"/>
      <c r="T42" s="88"/>
      <c r="U42" s="88"/>
      <c r="V42" s="88"/>
      <c r="W42" s="88"/>
      <c r="X42" s="88"/>
      <c r="Y42" s="88"/>
      <c r="Z42" s="88"/>
      <c r="AA42" s="88"/>
      <c r="AB42" s="88"/>
      <c r="AC42" s="88"/>
      <c r="AD42" s="88"/>
    </row>
    <row r="43" spans="2:30" ht="15" x14ac:dyDescent="0.25">
      <c r="G43" s="88"/>
      <c r="H43" s="88"/>
      <c r="I43" s="88"/>
      <c r="J43" s="88"/>
      <c r="K43" s="88"/>
      <c r="L43" s="88"/>
      <c r="M43" s="88"/>
      <c r="N43" s="88"/>
      <c r="O43" s="88"/>
      <c r="P43" s="88"/>
      <c r="Q43" s="88"/>
      <c r="R43" s="88"/>
      <c r="S43" s="88"/>
      <c r="T43" s="88"/>
      <c r="U43" s="88"/>
      <c r="V43" s="88"/>
      <c r="W43" s="88"/>
      <c r="X43" s="88"/>
      <c r="Y43" s="88"/>
      <c r="Z43" s="88"/>
      <c r="AA43" s="88"/>
      <c r="AB43" s="88"/>
      <c r="AC43" s="88"/>
      <c r="AD43" s="88"/>
    </row>
    <row r="44" spans="2:30" ht="15" x14ac:dyDescent="0.25">
      <c r="B44" s="908"/>
      <c r="C44" s="908"/>
      <c r="D44" s="908"/>
      <c r="E44" s="908"/>
      <c r="G44" s="88"/>
      <c r="H44" s="88"/>
      <c r="I44" s="88"/>
      <c r="J44" s="88"/>
      <c r="K44" s="88"/>
      <c r="L44" s="88"/>
      <c r="M44" s="88"/>
      <c r="N44" s="88"/>
      <c r="O44" s="88"/>
      <c r="P44" s="88"/>
      <c r="Q44" s="88"/>
      <c r="R44" s="88"/>
      <c r="S44" s="88"/>
      <c r="T44" s="88"/>
      <c r="U44" s="88"/>
      <c r="V44" s="88"/>
      <c r="W44" s="88"/>
      <c r="X44" s="88"/>
      <c r="Y44" s="88"/>
      <c r="Z44" s="88"/>
      <c r="AA44" s="88"/>
      <c r="AB44" s="88"/>
      <c r="AC44" s="88"/>
      <c r="AD44" s="88"/>
    </row>
    <row r="45" spans="2:30" ht="15" x14ac:dyDescent="0.25">
      <c r="G45" s="88"/>
      <c r="H45" s="88"/>
      <c r="I45" s="88"/>
      <c r="J45" s="88"/>
      <c r="K45" s="88"/>
      <c r="L45" s="88"/>
      <c r="M45" s="88"/>
      <c r="N45" s="88"/>
      <c r="O45" s="88"/>
      <c r="P45" s="88"/>
      <c r="Q45" s="88"/>
      <c r="R45" s="88"/>
      <c r="S45" s="88"/>
      <c r="T45" s="88"/>
      <c r="U45" s="88"/>
      <c r="V45" s="88"/>
      <c r="W45" s="88"/>
      <c r="X45" s="88"/>
      <c r="Y45" s="88"/>
      <c r="Z45" s="88"/>
      <c r="AA45" s="88"/>
      <c r="AB45" s="88"/>
      <c r="AC45" s="88"/>
      <c r="AD45" s="88"/>
    </row>
    <row r="46" spans="2:30" ht="15" x14ac:dyDescent="0.25">
      <c r="G46" s="88"/>
      <c r="H46" s="88"/>
      <c r="I46" s="88"/>
      <c r="J46" s="88"/>
      <c r="K46" s="88"/>
      <c r="L46" s="88"/>
      <c r="M46" s="88"/>
      <c r="N46" s="88"/>
      <c r="O46" s="88"/>
      <c r="P46" s="88"/>
      <c r="Q46" s="88"/>
      <c r="R46" s="88"/>
      <c r="S46" s="88"/>
      <c r="T46" s="88"/>
      <c r="U46" s="88"/>
      <c r="V46" s="88"/>
      <c r="W46" s="88"/>
      <c r="X46" s="88"/>
      <c r="Y46" s="88"/>
      <c r="Z46" s="88"/>
      <c r="AA46" s="88"/>
      <c r="AB46" s="88"/>
      <c r="AC46" s="88"/>
      <c r="AD46" s="88"/>
    </row>
    <row r="47" spans="2:30" ht="15" x14ac:dyDescent="0.25">
      <c r="G47" s="2"/>
      <c r="H47" s="2"/>
      <c r="I47" s="2"/>
      <c r="J47" s="2"/>
      <c r="K47" s="2"/>
      <c r="L47" s="2"/>
      <c r="M47" s="2"/>
      <c r="N47" s="2"/>
      <c r="O47" s="2"/>
      <c r="P47" s="2"/>
      <c r="Q47" s="2"/>
      <c r="R47" s="2"/>
      <c r="S47" s="2"/>
      <c r="T47" s="2"/>
      <c r="U47" s="2"/>
      <c r="V47" s="2"/>
      <c r="W47" s="2"/>
      <c r="X47" s="2"/>
      <c r="Y47" s="2"/>
      <c r="Z47" s="2"/>
      <c r="AA47" s="2"/>
      <c r="AB47" s="2"/>
      <c r="AC47" s="2"/>
      <c r="AD47" s="2"/>
    </row>
    <row r="48" spans="2:30" ht="15" x14ac:dyDescent="0.25"/>
    <row r="49" spans="2:5" ht="15" x14ac:dyDescent="0.25"/>
    <row r="50" spans="2:5" ht="104.25" customHeight="1" x14ac:dyDescent="0.25"/>
    <row r="51" spans="2:5" ht="15" hidden="1" x14ac:dyDescent="0.25"/>
    <row r="52" spans="2:5" ht="15" hidden="1" x14ac:dyDescent="0.25"/>
    <row r="53" spans="2:5" ht="15" hidden="1" x14ac:dyDescent="0.25"/>
    <row r="54" spans="2:5" ht="15" hidden="1" x14ac:dyDescent="0.25">
      <c r="B54" s="908"/>
      <c r="C54" s="908"/>
      <c r="D54" s="908"/>
      <c r="E54" s="908"/>
    </row>
    <row r="55" spans="2:5" ht="15" hidden="1" x14ac:dyDescent="0.25"/>
    <row r="56" spans="2:5" ht="15" hidden="1" x14ac:dyDescent="0.25"/>
    <row r="57" spans="2:5" ht="15" hidden="1" x14ac:dyDescent="0.25"/>
    <row r="58" spans="2:5" ht="15" hidden="1" x14ac:dyDescent="0.25"/>
    <row r="59" spans="2:5" ht="15" hidden="1" x14ac:dyDescent="0.25"/>
    <row r="60" spans="2:5" ht="15" hidden="1" x14ac:dyDescent="0.25"/>
    <row r="61" spans="2:5" ht="15" hidden="1" x14ac:dyDescent="0.25"/>
    <row r="62" spans="2:5" ht="15" hidden="1" x14ac:dyDescent="0.25"/>
    <row r="63" spans="2:5" ht="15" hidden="1" x14ac:dyDescent="0.25"/>
    <row r="64" spans="2:5" ht="15" hidden="1" x14ac:dyDescent="0.25"/>
    <row r="65" ht="15" hidden="1" x14ac:dyDescent="0.25"/>
    <row r="66" ht="15" hidden="1" x14ac:dyDescent="0.25"/>
    <row r="67" ht="15" hidden="1" x14ac:dyDescent="0.25"/>
    <row r="68" ht="15" hidden="1" x14ac:dyDescent="0.25"/>
    <row r="69" ht="15" hidden="1" x14ac:dyDescent="0.25"/>
    <row r="70" ht="15" hidden="1" x14ac:dyDescent="0.25"/>
    <row r="71" ht="15" hidden="1" x14ac:dyDescent="0.25"/>
    <row r="72" ht="15" hidden="1" x14ac:dyDescent="0.25"/>
    <row r="73" ht="15" hidden="1" x14ac:dyDescent="0.25"/>
  </sheetData>
  <sheetProtection algorithmName="SHA-512" hashValue="6XyUh1+gkJaoSb1Ql4OESj0ZIIS3Evw5gF2RTBk0eD27TviO7qypUSX/bjvP2iINh+xkyF4f4vzt7+eALyqnxg==" saltValue="rkleFfxjcnDrmCZ/ZcoT9g==" spinCount="100000" sheet="1" objects="1" scenarios="1"/>
  <mergeCells count="20">
    <mergeCell ref="Z3:AD3"/>
    <mergeCell ref="B7:E7"/>
    <mergeCell ref="G7:AD7"/>
    <mergeCell ref="G9:AD10"/>
    <mergeCell ref="G8:Y8"/>
    <mergeCell ref="B54:E54"/>
    <mergeCell ref="B10:E10"/>
    <mergeCell ref="B12:E12"/>
    <mergeCell ref="B21:E21"/>
    <mergeCell ref="B25:E25"/>
    <mergeCell ref="B36:E36"/>
    <mergeCell ref="B44:E44"/>
    <mergeCell ref="B27:E27"/>
    <mergeCell ref="B35:E35"/>
    <mergeCell ref="G12:AD12"/>
    <mergeCell ref="G16:AD16"/>
    <mergeCell ref="G37:AD37"/>
    <mergeCell ref="G27:AD27"/>
    <mergeCell ref="G13:Z13"/>
    <mergeCell ref="G17:Z17"/>
  </mergeCells>
  <pageMargins left="0.25" right="0.25" top="0.75" bottom="0.75" header="0.3" footer="0.3"/>
  <pageSetup paperSize="8" scale="6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43337-4998-4426-AEA4-43FBD559D20B}">
  <sheetPr codeName="Sheet6">
    <tabColor theme="9" tint="0.79998168889431442"/>
    <pageSetUpPr fitToPage="1"/>
  </sheetPr>
  <dimension ref="B1:S69"/>
  <sheetViews>
    <sheetView showGridLines="0" topLeftCell="A2" zoomScale="55" zoomScaleNormal="55" workbookViewId="0">
      <selection activeCell="I31" sqref="I31"/>
    </sheetView>
  </sheetViews>
  <sheetFormatPr defaultColWidth="8.5703125" defaultRowHeight="15" x14ac:dyDescent="0.2"/>
  <cols>
    <col min="1" max="1" width="4.42578125" style="37" customWidth="1"/>
    <col min="2" max="2" width="75.42578125" style="37" customWidth="1"/>
    <col min="3" max="3" width="20.5703125" style="37" customWidth="1"/>
    <col min="4" max="4" width="8.42578125" style="48" customWidth="1"/>
    <col min="5" max="5" width="15.42578125" style="48" customWidth="1"/>
    <col min="6" max="6" width="27.5703125" style="48" customWidth="1"/>
    <col min="7" max="7" width="26.5703125" style="68" customWidth="1"/>
    <col min="8" max="14" width="21.5703125" style="29" customWidth="1"/>
    <col min="15" max="15" width="15.5703125" style="48" customWidth="1"/>
    <col min="16" max="16384" width="8.5703125" style="37"/>
  </cols>
  <sheetData>
    <row r="1" spans="2:15" ht="24.6" customHeight="1" x14ac:dyDescent="0.2"/>
    <row r="2" spans="2:15" ht="81" customHeight="1" x14ac:dyDescent="0.2">
      <c r="B2" s="343" t="s">
        <v>6</v>
      </c>
      <c r="C2" s="343" t="s">
        <v>311</v>
      </c>
      <c r="D2" s="337"/>
      <c r="E2" s="337"/>
      <c r="F2" s="337"/>
      <c r="G2" s="337"/>
      <c r="H2" s="337"/>
      <c r="I2" s="337"/>
      <c r="J2" s="337"/>
      <c r="K2" s="337"/>
      <c r="L2" s="337"/>
      <c r="M2" s="337"/>
      <c r="N2" s="277"/>
    </row>
    <row r="3" spans="2:15" ht="25.5" customHeight="1" x14ac:dyDescent="0.2">
      <c r="B3" s="48"/>
      <c r="C3" s="48"/>
    </row>
    <row r="4" spans="2:15" ht="26.85" customHeight="1" x14ac:dyDescent="0.2">
      <c r="B4" s="6" t="s">
        <v>257</v>
      </c>
      <c r="C4" s="6"/>
      <c r="D4" s="158" t="s">
        <v>9</v>
      </c>
      <c r="E4" s="158"/>
      <c r="F4" s="135" t="s">
        <v>10</v>
      </c>
      <c r="G4" s="136" t="s">
        <v>11</v>
      </c>
      <c r="H4" s="136" t="s">
        <v>12</v>
      </c>
      <c r="I4" s="136" t="s">
        <v>13</v>
      </c>
      <c r="J4" s="136" t="s">
        <v>14</v>
      </c>
      <c r="K4" s="136" t="s">
        <v>15</v>
      </c>
      <c r="L4" s="136" t="s">
        <v>16</v>
      </c>
      <c r="M4" s="136" t="s">
        <v>17</v>
      </c>
      <c r="N4" s="136" t="s">
        <v>18</v>
      </c>
      <c r="O4" s="81"/>
    </row>
    <row r="5" spans="2:15" ht="26.85" customHeight="1" x14ac:dyDescent="0.25">
      <c r="B5" s="234" t="s">
        <v>258</v>
      </c>
      <c r="C5" s="234"/>
      <c r="D5" s="307"/>
      <c r="E5" s="307"/>
      <c r="F5" s="825"/>
      <c r="G5" s="689"/>
      <c r="H5" s="436"/>
      <c r="I5" s="244"/>
      <c r="J5" s="199"/>
      <c r="K5" s="244"/>
      <c r="L5" s="244"/>
      <c r="M5" s="244"/>
      <c r="N5" s="244"/>
      <c r="O5" s="69"/>
    </row>
    <row r="6" spans="2:15" ht="26.85" customHeight="1" x14ac:dyDescent="0.25">
      <c r="B6" s="357" t="s">
        <v>259</v>
      </c>
      <c r="C6" s="357"/>
      <c r="D6" s="310" t="s">
        <v>260</v>
      </c>
      <c r="E6" s="310"/>
      <c r="F6" s="794">
        <f>'GROUP Environment'!F6*(1-'PLUS ES Emissions'!F$46)</f>
        <v>2415.2316993174363</v>
      </c>
      <c r="G6" s="620">
        <f>'GROUP Environment'!G6*(1-'PLUS ES Emissions'!G$46)</f>
        <v>2673.655737704918</v>
      </c>
      <c r="H6" s="192">
        <f>'GROUP Environment'!H6*(1-'PLUS ES Emissions'!H$46)</f>
        <v>2524.1438994121486</v>
      </c>
      <c r="I6" s="192">
        <f>'GROUP Environment'!I6*(1-'PLUS ES Emissions'!I$46)</f>
        <v>2250.5907103825134</v>
      </c>
      <c r="J6" s="192">
        <f>'GROUP Environment'!J6*(1-'PLUS ES Emissions'!J$46)</f>
        <v>2171.3060224089636</v>
      </c>
      <c r="K6" s="192">
        <f>'GROUP Environment'!K6*(1-'PLUS ES Emissions'!K$46)</f>
        <v>2176.9453569172456</v>
      </c>
      <c r="L6" s="192">
        <f>'GROUP Environment'!L6*(1-'PLUS ES Emissions'!L$46)</f>
        <v>3053.7346655564806</v>
      </c>
      <c r="M6" s="192">
        <f>'GROUP Environment'!M6*(1-'PLUS ES Emissions'!M$46)</f>
        <v>3993.0879150066403</v>
      </c>
      <c r="N6" s="192">
        <f>'GROUP Environment'!N6</f>
        <v>4186</v>
      </c>
      <c r="O6" s="96"/>
    </row>
    <row r="7" spans="2:15" ht="26.85" customHeight="1" x14ac:dyDescent="0.25">
      <c r="B7" s="357" t="s">
        <v>261</v>
      </c>
      <c r="C7" s="357"/>
      <c r="D7" s="310" t="s">
        <v>262</v>
      </c>
      <c r="E7" s="310"/>
      <c r="F7" s="821">
        <f>'GROUP Environment'!F7*(1-'PLUS ES Emissions'!F$46)</f>
        <v>126.42583357605076</v>
      </c>
      <c r="G7" s="617">
        <f>'GROUP Environment'!G7*(1-'PLUS ES Emissions'!G$46)</f>
        <v>113.26648987463838</v>
      </c>
      <c r="H7" s="192">
        <f>'GROUP Environment'!H7*(1-'PLUS ES Emissions'!H$46)</f>
        <v>204.2681580666231</v>
      </c>
      <c r="I7" s="192">
        <f>'GROUP Environment'!I7*(1-'PLUS ES Emissions'!I$46)</f>
        <v>227.22868852459015</v>
      </c>
      <c r="J7" s="192">
        <f>'GROUP Environment'!J7*(1-'PLUS ES Emissions'!J$46)</f>
        <v>261.90476190476193</v>
      </c>
      <c r="K7" s="192">
        <f>'GROUP Environment'!K7*(1-'PLUS ES Emissions'!K$46)</f>
        <v>197.55369551484523</v>
      </c>
      <c r="L7" s="192">
        <f>'GROUP Environment'!L7*(1-'PLUS ES Emissions'!L$46)</f>
        <v>201.70746600055509</v>
      </c>
      <c r="M7" s="192">
        <f>'GROUP Environment'!M7*(1-'PLUS ES Emissions'!M$46)</f>
        <v>205.01938911022577</v>
      </c>
      <c r="N7" s="192">
        <f>'GROUP Environment'!N7</f>
        <v>166</v>
      </c>
      <c r="O7" s="69"/>
    </row>
    <row r="8" spans="2:15" ht="26.85" customHeight="1" x14ac:dyDescent="0.25">
      <c r="B8" s="357" t="s">
        <v>263</v>
      </c>
      <c r="C8" s="357"/>
      <c r="D8" s="310" t="s">
        <v>260</v>
      </c>
      <c r="E8" s="310"/>
      <c r="F8" s="821">
        <f>'GROUP Environment'!F8*(1-'PLUS ES Emissions'!F$46)</f>
        <v>68.039374422227013</v>
      </c>
      <c r="G8" s="617">
        <f>'GROUP Environment'!G8*(1-'PLUS ES Emissions'!G$46)</f>
        <v>65.14654773384764</v>
      </c>
      <c r="H8" s="192">
        <f>'GROUP Environment'!H8*(1-'PLUS ES Emissions'!H$46)</f>
        <v>86.981815806662311</v>
      </c>
      <c r="I8" s="192">
        <f>'GROUP Environment'!I8*(1-'PLUS ES Emissions'!I$46)</f>
        <v>59.858196721311472</v>
      </c>
      <c r="J8" s="192">
        <f>'GROUP Environment'!J8*(1-'PLUS ES Emissions'!J$46)</f>
        <v>61.624649859943979</v>
      </c>
      <c r="K8" s="192">
        <f>'GROUP Environment'!K8*(1-'PLUS ES Emissions'!K$46)</f>
        <v>63.60265319014529</v>
      </c>
      <c r="L8" s="192">
        <f>'GROUP Environment'!L8*(1-'PLUS ES Emissions'!L$46)</f>
        <v>82.428531779072998</v>
      </c>
      <c r="M8" s="192">
        <f>'GROUP Environment'!M8*(1-'PLUS ES Emissions'!M$46)</f>
        <v>144.66321381142097</v>
      </c>
      <c r="N8" s="192">
        <f>'GROUP Environment'!N8*(1-'PLUS ES Emissions'!N$46)</f>
        <v>91</v>
      </c>
      <c r="O8" s="69"/>
    </row>
    <row r="9" spans="2:15" ht="26.85" customHeight="1" x14ac:dyDescent="0.25">
      <c r="B9" s="235" t="s">
        <v>264</v>
      </c>
      <c r="C9" s="235"/>
      <c r="D9" s="310"/>
      <c r="E9" s="310"/>
      <c r="F9" s="825"/>
      <c r="G9" s="433"/>
      <c r="H9" s="438"/>
      <c r="I9" s="404"/>
      <c r="J9" s="433"/>
      <c r="K9" s="434"/>
      <c r="L9" s="434"/>
      <c r="M9" s="434"/>
      <c r="N9" s="434"/>
      <c r="O9" s="69"/>
    </row>
    <row r="10" spans="2:15" ht="26.85" customHeight="1" x14ac:dyDescent="0.25">
      <c r="B10" s="357" t="s">
        <v>312</v>
      </c>
      <c r="C10" s="357"/>
      <c r="D10" s="310" t="s">
        <v>31</v>
      </c>
      <c r="E10" s="310"/>
      <c r="F10" s="826">
        <f>'GROUP Environment'!F10</f>
        <v>0.124</v>
      </c>
      <c r="G10" s="816">
        <f>'GROUP Environment'!G10</f>
        <v>0.17799999999999999</v>
      </c>
      <c r="H10" s="211">
        <f>'GROUP Environment'!H10</f>
        <v>0.19</v>
      </c>
      <c r="I10" s="211">
        <f>'GROUP Environment'!I10</f>
        <v>0.219</v>
      </c>
      <c r="J10" s="197" t="s">
        <v>23</v>
      </c>
      <c r="K10" s="197" t="s">
        <v>23</v>
      </c>
      <c r="L10" s="197" t="s">
        <v>23</v>
      </c>
      <c r="M10" s="197" t="s">
        <v>23</v>
      </c>
      <c r="N10" s="197" t="s">
        <v>23</v>
      </c>
      <c r="O10" s="129"/>
    </row>
    <row r="11" spans="2:15" ht="26.85" customHeight="1" x14ac:dyDescent="0.25">
      <c r="B11" s="357" t="s">
        <v>313</v>
      </c>
      <c r="C11" s="357"/>
      <c r="D11" s="310" t="s">
        <v>31</v>
      </c>
      <c r="E11" s="310"/>
      <c r="F11" s="826">
        <f>'GROUP Environment'!F11</f>
        <v>0.222</v>
      </c>
      <c r="G11" s="816">
        <f>'GROUP Environment'!G11</f>
        <v>0.25900000000000001</v>
      </c>
      <c r="H11" s="211">
        <f>'GROUP Environment'!H11</f>
        <v>0.24299999999999999</v>
      </c>
      <c r="I11" s="211">
        <f>'GROUP Environment'!I11</f>
        <v>0.27</v>
      </c>
      <c r="J11" s="197" t="s">
        <v>23</v>
      </c>
      <c r="K11" s="197" t="s">
        <v>23</v>
      </c>
      <c r="L11" s="197" t="s">
        <v>23</v>
      </c>
      <c r="M11" s="197" t="s">
        <v>23</v>
      </c>
      <c r="N11" s="197" t="s">
        <v>23</v>
      </c>
      <c r="O11" s="129"/>
    </row>
    <row r="12" spans="2:15" s="157" customFormat="1" ht="26.85" customHeight="1" x14ac:dyDescent="0.25">
      <c r="B12" s="357" t="s">
        <v>314</v>
      </c>
      <c r="C12" s="357"/>
      <c r="D12" s="310" t="s">
        <v>260</v>
      </c>
      <c r="E12" s="310"/>
      <c r="F12" s="826" t="str">
        <f>'GROUP Environment'!F12</f>
        <v>&gt;33,000</v>
      </c>
      <c r="G12" s="816" t="str">
        <f>'GROUP Environment'!G12</f>
        <v>&gt;29,000</v>
      </c>
      <c r="H12" s="377" t="str">
        <f>'GROUP Environment'!H12</f>
        <v>&gt;25,000</v>
      </c>
      <c r="I12" s="197" t="s">
        <v>23</v>
      </c>
      <c r="J12" s="197" t="s">
        <v>23</v>
      </c>
      <c r="K12" s="197" t="s">
        <v>23</v>
      </c>
      <c r="L12" s="197" t="s">
        <v>23</v>
      </c>
      <c r="M12" s="197" t="s">
        <v>23</v>
      </c>
      <c r="N12" s="197" t="s">
        <v>23</v>
      </c>
      <c r="O12" s="129"/>
    </row>
    <row r="13" spans="2:15" s="157" customFormat="1" ht="26.25" customHeight="1" x14ac:dyDescent="0.25">
      <c r="B13" s="627" t="s">
        <v>315</v>
      </c>
      <c r="C13" s="625"/>
      <c r="D13" s="122"/>
      <c r="E13" s="122"/>
      <c r="F13" s="122"/>
      <c r="G13" s="643"/>
      <c r="H13" s="640"/>
      <c r="I13" s="22"/>
      <c r="J13" s="22"/>
      <c r="K13" s="22"/>
      <c r="L13" s="22"/>
      <c r="M13" s="22"/>
      <c r="N13" s="22"/>
      <c r="O13" s="129"/>
    </row>
    <row r="14" spans="2:15" ht="50.1" customHeight="1" x14ac:dyDescent="0.2">
      <c r="B14" s="615"/>
      <c r="C14" s="138"/>
      <c r="D14" s="139"/>
      <c r="E14" s="139"/>
      <c r="F14" s="139"/>
      <c r="G14" s="103"/>
      <c r="H14" s="89"/>
      <c r="I14" s="140"/>
      <c r="J14" s="141"/>
      <c r="K14" s="141"/>
      <c r="L14" s="141"/>
      <c r="M14" s="141"/>
      <c r="N14" s="141"/>
      <c r="O14" s="142"/>
    </row>
    <row r="15" spans="2:15" ht="26.85" customHeight="1" x14ac:dyDescent="0.2">
      <c r="B15" s="6" t="s">
        <v>316</v>
      </c>
      <c r="C15" s="6"/>
      <c r="D15" s="7" t="s">
        <v>9</v>
      </c>
      <c r="E15" s="7"/>
      <c r="F15" s="135" t="s">
        <v>10</v>
      </c>
      <c r="G15" s="9" t="s">
        <v>11</v>
      </c>
      <c r="H15" s="9" t="s">
        <v>12</v>
      </c>
      <c r="I15" s="9" t="s">
        <v>13</v>
      </c>
      <c r="J15" s="9" t="s">
        <v>14</v>
      </c>
      <c r="K15" s="9" t="s">
        <v>15</v>
      </c>
      <c r="L15" s="9" t="s">
        <v>16</v>
      </c>
      <c r="M15" s="9" t="s">
        <v>17</v>
      </c>
      <c r="N15" s="9" t="s">
        <v>18</v>
      </c>
      <c r="O15" s="81"/>
    </row>
    <row r="16" spans="2:15" ht="26.85" customHeight="1" x14ac:dyDescent="0.25">
      <c r="B16" s="234" t="s">
        <v>317</v>
      </c>
      <c r="C16" s="234"/>
      <c r="D16" s="307"/>
      <c r="E16" s="307"/>
      <c r="F16" s="825"/>
      <c r="G16" s="433"/>
      <c r="H16" s="402"/>
      <c r="I16" s="244"/>
      <c r="J16" s="199"/>
      <c r="K16" s="244"/>
      <c r="L16" s="244"/>
      <c r="M16" s="244"/>
      <c r="N16" s="244"/>
      <c r="O16" s="69"/>
    </row>
    <row r="17" spans="2:19" ht="26.85" customHeight="1" x14ac:dyDescent="0.25">
      <c r="B17" s="357" t="s">
        <v>274</v>
      </c>
      <c r="C17" s="357"/>
      <c r="D17" s="310" t="s">
        <v>262</v>
      </c>
      <c r="E17" s="310"/>
      <c r="F17" s="794">
        <f>'GROUP Environment'!F17*(1-'PLUS ES Emissions'!F$46)</f>
        <v>97720.134841136169</v>
      </c>
      <c r="G17" s="620">
        <f>'GROUP Environment'!G17*(1-'PLUS ES Emissions'!G$46)</f>
        <v>80522.266152362587</v>
      </c>
      <c r="H17" s="431">
        <f>'GROUP Environment'!H17*(1-'PLUS ES Emissions'!H$46)</f>
        <v>49794.288047028087</v>
      </c>
      <c r="I17" s="431">
        <v>52683.930327868853</v>
      </c>
      <c r="J17" s="407">
        <v>53646</v>
      </c>
      <c r="K17" s="192">
        <v>166850</v>
      </c>
      <c r="L17" s="192">
        <v>186948</v>
      </c>
      <c r="M17" s="192">
        <v>99439</v>
      </c>
      <c r="N17" s="192">
        <v>136129</v>
      </c>
      <c r="O17" s="96"/>
    </row>
    <row r="18" spans="2:19" ht="26.85" customHeight="1" x14ac:dyDescent="0.25">
      <c r="B18" s="235" t="s">
        <v>318</v>
      </c>
      <c r="C18" s="235"/>
      <c r="D18" s="310"/>
      <c r="E18" s="310"/>
      <c r="F18" s="825"/>
      <c r="G18" s="617"/>
      <c r="H18" s="431"/>
      <c r="I18" s="431"/>
      <c r="J18" s="407"/>
      <c r="K18" s="192"/>
      <c r="L18" s="192"/>
      <c r="M18" s="192"/>
      <c r="N18" s="192"/>
      <c r="O18" s="69"/>
    </row>
    <row r="19" spans="2:19" ht="26.85" customHeight="1" x14ac:dyDescent="0.25">
      <c r="B19" s="357" t="s">
        <v>319</v>
      </c>
      <c r="C19" s="357"/>
      <c r="D19" s="310" t="s">
        <v>262</v>
      </c>
      <c r="E19" s="310"/>
      <c r="F19" s="821">
        <f>'GROUP Environment'!F19*(1-'PLUS ES Emissions'!F$46)</f>
        <v>172.83408005875873</v>
      </c>
      <c r="G19" s="617">
        <f>'GROUP Environment'!G19*(1-'PLUS ES Emissions'!G$46)</f>
        <v>85.474927675988425</v>
      </c>
      <c r="H19" s="431">
        <f>'GROUP Environment'!H19*(1-'PLUS ES Emissions'!H$46)</f>
        <v>72.452645329849773</v>
      </c>
      <c r="I19" s="431">
        <f>'GROUP Environment'!I19*(1-'PLUS ES Emissions'!I$46)</f>
        <v>72.643442622950815</v>
      </c>
      <c r="J19" s="431">
        <f>'GROUP Environment'!J19*(1-'PLUS ES Emissions'!J$46)</f>
        <v>72.216386554621849</v>
      </c>
      <c r="K19" s="431">
        <f>'GROUP Environment'!K19*(1-'PLUS ES Emissions'!K$46)</f>
        <v>68.661955148452307</v>
      </c>
      <c r="L19" s="431">
        <f>'GROUP Environment'!L19*(1-'PLUS ES Emissions'!L$46)</f>
        <v>46.547876769358865</v>
      </c>
      <c r="M19" s="431">
        <f>'GROUP Environment'!M19*(1-'PLUS ES Emissions'!M$46)</f>
        <v>45.985657370517927</v>
      </c>
      <c r="N19" s="431">
        <f>'GROUP Environment'!N19*(1-'PLUS ES Emissions'!N$46)</f>
        <v>48</v>
      </c>
      <c r="O19" s="96"/>
      <c r="P19" s="144"/>
      <c r="Q19" s="144"/>
      <c r="R19" s="144"/>
      <c r="S19" s="144"/>
    </row>
    <row r="20" spans="2:19" ht="26.85" customHeight="1" x14ac:dyDescent="0.25">
      <c r="B20" s="235" t="s">
        <v>277</v>
      </c>
      <c r="C20" s="235"/>
      <c r="D20" s="310"/>
      <c r="E20" s="310"/>
      <c r="F20" s="825"/>
      <c r="G20" s="617"/>
      <c r="H20" s="431"/>
      <c r="I20" s="431"/>
      <c r="J20" s="407"/>
      <c r="K20" s="192"/>
      <c r="L20" s="192"/>
      <c r="M20" s="192"/>
      <c r="N20" s="192"/>
      <c r="O20" s="69"/>
    </row>
    <row r="21" spans="2:19" ht="26.85" customHeight="1" x14ac:dyDescent="0.25">
      <c r="B21" s="350" t="s">
        <v>320</v>
      </c>
      <c r="C21" s="357"/>
      <c r="D21" s="310" t="s">
        <v>262</v>
      </c>
      <c r="E21" s="310"/>
      <c r="F21" s="821">
        <v>66490</v>
      </c>
      <c r="G21" s="617">
        <f>'GROUP Environment'!G21</f>
        <v>78650</v>
      </c>
      <c r="H21" s="192">
        <f>'GROUP Environment'!H21</f>
        <v>70285</v>
      </c>
      <c r="I21" s="192">
        <f>'GROUP Environment'!I21</f>
        <v>75010</v>
      </c>
      <c r="J21" s="192">
        <f>'GROUP Environment'!J21</f>
        <v>66184</v>
      </c>
      <c r="K21" s="192">
        <f>'GROUP Environment'!K21</f>
        <v>66235</v>
      </c>
      <c r="L21" s="192">
        <f>'GROUP Environment'!L21</f>
        <v>68456</v>
      </c>
      <c r="M21" s="192">
        <f>'GROUP Environment'!M21</f>
        <v>76000</v>
      </c>
      <c r="N21" s="192">
        <f>'GROUP Environment'!N21</f>
        <v>76268</v>
      </c>
      <c r="O21" s="96"/>
    </row>
    <row r="22" spans="2:19" ht="26.85" customHeight="1" x14ac:dyDescent="0.25">
      <c r="B22" s="613" t="s">
        <v>279</v>
      </c>
      <c r="C22" s="235"/>
      <c r="D22" s="310"/>
      <c r="E22" s="310"/>
      <c r="F22" s="825"/>
      <c r="G22" s="617"/>
      <c r="H22" s="192"/>
      <c r="I22" s="392"/>
      <c r="J22" s="431"/>
      <c r="K22" s="437"/>
      <c r="L22" s="437"/>
      <c r="M22" s="437"/>
      <c r="N22" s="437"/>
      <c r="O22" s="96"/>
    </row>
    <row r="23" spans="2:19" ht="26.85" customHeight="1" x14ac:dyDescent="0.25">
      <c r="B23" s="564" t="s">
        <v>280</v>
      </c>
      <c r="C23" s="564"/>
      <c r="D23" s="310"/>
      <c r="E23" s="310"/>
      <c r="F23" s="825"/>
      <c r="G23" s="617"/>
      <c r="H23" s="192"/>
      <c r="I23" s="392"/>
      <c r="J23" s="431"/>
      <c r="K23" s="437"/>
      <c r="L23" s="437"/>
      <c r="M23" s="437"/>
      <c r="N23" s="437"/>
      <c r="O23" s="96"/>
    </row>
    <row r="24" spans="2:19" ht="26.85" customHeight="1" x14ac:dyDescent="0.25">
      <c r="B24" s="364" t="s">
        <v>281</v>
      </c>
      <c r="C24" s="364"/>
      <c r="D24" s="310" t="s">
        <v>262</v>
      </c>
      <c r="E24" s="310"/>
      <c r="F24" s="821">
        <f>'GROUP Environment'!F24</f>
        <v>0</v>
      </c>
      <c r="G24" s="617">
        <f>'GROUP Environment'!G24</f>
        <v>0</v>
      </c>
      <c r="H24" s="377">
        <f>'GROUP Environment'!H24</f>
        <v>0</v>
      </c>
      <c r="I24" s="377">
        <f>'GROUP Environment'!I24</f>
        <v>0</v>
      </c>
      <c r="J24" s="197" t="s">
        <v>23</v>
      </c>
      <c r="K24" s="197" t="s">
        <v>23</v>
      </c>
      <c r="L24" s="197" t="s">
        <v>23</v>
      </c>
      <c r="M24" s="197" t="s">
        <v>23</v>
      </c>
      <c r="N24" s="197" t="s">
        <v>23</v>
      </c>
      <c r="O24" s="96"/>
    </row>
    <row r="25" spans="2:19" ht="26.85" customHeight="1" x14ac:dyDescent="0.25">
      <c r="B25" s="364" t="s">
        <v>282</v>
      </c>
      <c r="C25" s="364"/>
      <c r="D25" s="310" t="s">
        <v>262</v>
      </c>
      <c r="E25" s="310"/>
      <c r="F25" s="821">
        <f>'GROUP Environment'!F25</f>
        <v>67306</v>
      </c>
      <c r="G25" s="617">
        <f>'GROUP Environment'!G25</f>
        <v>78413</v>
      </c>
      <c r="H25" s="377">
        <f>'GROUP Environment'!H25</f>
        <v>70187</v>
      </c>
      <c r="I25" s="377">
        <f>'GROUP Environment'!I25</f>
        <v>74949</v>
      </c>
      <c r="J25" s="197" t="s">
        <v>23</v>
      </c>
      <c r="K25" s="197" t="s">
        <v>23</v>
      </c>
      <c r="L25" s="197" t="s">
        <v>23</v>
      </c>
      <c r="M25" s="197" t="s">
        <v>23</v>
      </c>
      <c r="N25" s="197" t="s">
        <v>23</v>
      </c>
      <c r="O25" s="96"/>
    </row>
    <row r="26" spans="2:19" ht="26.85" customHeight="1" x14ac:dyDescent="0.25">
      <c r="B26" s="564" t="s">
        <v>283</v>
      </c>
      <c r="C26" s="564"/>
      <c r="D26" s="310"/>
      <c r="E26" s="310"/>
      <c r="F26" s="825"/>
      <c r="G26" s="617"/>
      <c r="H26" s="377"/>
      <c r="I26" s="377"/>
      <c r="J26" s="431"/>
      <c r="K26" s="437"/>
      <c r="L26" s="437"/>
      <c r="M26" s="437"/>
      <c r="N26" s="437"/>
      <c r="O26" s="96"/>
    </row>
    <row r="27" spans="2:19" ht="26.85" customHeight="1" x14ac:dyDescent="0.25">
      <c r="B27" s="364" t="s">
        <v>284</v>
      </c>
      <c r="C27" s="364"/>
      <c r="D27" s="310" t="s">
        <v>262</v>
      </c>
      <c r="E27" s="310"/>
      <c r="F27" s="821">
        <f>'GROUP Environment'!F27</f>
        <v>0</v>
      </c>
      <c r="G27" s="617">
        <f>'GROUP Environment'!G27</f>
        <v>0</v>
      </c>
      <c r="H27" s="377">
        <f>'GROUP Environment'!H27</f>
        <v>0</v>
      </c>
      <c r="I27" s="377">
        <f>'GROUP Environment'!I27</f>
        <v>0</v>
      </c>
      <c r="J27" s="197" t="s">
        <v>23</v>
      </c>
      <c r="K27" s="197" t="s">
        <v>23</v>
      </c>
      <c r="L27" s="197" t="s">
        <v>23</v>
      </c>
      <c r="M27" s="197" t="s">
        <v>23</v>
      </c>
      <c r="N27" s="197" t="s">
        <v>23</v>
      </c>
      <c r="O27" s="96"/>
    </row>
    <row r="28" spans="2:19" ht="26.85" customHeight="1" x14ac:dyDescent="0.25">
      <c r="B28" s="364" t="s">
        <v>321</v>
      </c>
      <c r="C28" s="364"/>
      <c r="D28" s="310" t="s">
        <v>262</v>
      </c>
      <c r="E28" s="310"/>
      <c r="F28" s="821">
        <f>'GROUP Environment'!F28</f>
        <v>67306</v>
      </c>
      <c r="G28" s="617">
        <f>'GROUP Environment'!G28</f>
        <v>78413</v>
      </c>
      <c r="H28" s="377">
        <f>'GROUP Environment'!H28</f>
        <v>70187</v>
      </c>
      <c r="I28" s="377">
        <f>'GROUP Environment'!I28</f>
        <v>74949</v>
      </c>
      <c r="J28" s="197" t="s">
        <v>23</v>
      </c>
      <c r="K28" s="197" t="s">
        <v>23</v>
      </c>
      <c r="L28" s="197" t="s">
        <v>23</v>
      </c>
      <c r="M28" s="197" t="s">
        <v>23</v>
      </c>
      <c r="N28" s="197" t="s">
        <v>23</v>
      </c>
      <c r="O28" s="96"/>
    </row>
    <row r="29" spans="2:19" ht="26.85" customHeight="1" x14ac:dyDescent="0.25">
      <c r="B29" s="364" t="s">
        <v>286</v>
      </c>
      <c r="C29" s="364"/>
      <c r="D29" s="310" t="s">
        <v>262</v>
      </c>
      <c r="E29" s="310"/>
      <c r="F29" s="821">
        <f>'GROUP Environment'!F29</f>
        <v>0</v>
      </c>
      <c r="G29" s="617">
        <f>'GROUP Environment'!G29</f>
        <v>0</v>
      </c>
      <c r="H29" s="377">
        <f>'GROUP Environment'!H29</f>
        <v>0</v>
      </c>
      <c r="I29" s="377">
        <f>'GROUP Environment'!I29</f>
        <v>0</v>
      </c>
      <c r="J29" s="197" t="s">
        <v>23</v>
      </c>
      <c r="K29" s="197" t="s">
        <v>23</v>
      </c>
      <c r="L29" s="197" t="s">
        <v>23</v>
      </c>
      <c r="M29" s="197" t="s">
        <v>23</v>
      </c>
      <c r="N29" s="197" t="s">
        <v>23</v>
      </c>
      <c r="O29" s="96"/>
    </row>
    <row r="30" spans="2:19" ht="26.85" customHeight="1" x14ac:dyDescent="0.25">
      <c r="B30" s="364" t="s">
        <v>287</v>
      </c>
      <c r="C30" s="364"/>
      <c r="D30" s="310" t="s">
        <v>262</v>
      </c>
      <c r="E30" s="310"/>
      <c r="F30" s="821">
        <f>'GROUP Environment'!F30</f>
        <v>0</v>
      </c>
      <c r="G30" s="617">
        <f>'GROUP Environment'!G30</f>
        <v>0</v>
      </c>
      <c r="H30" s="377">
        <f>'GROUP Environment'!H30</f>
        <v>0</v>
      </c>
      <c r="I30" s="377">
        <f>'GROUP Environment'!I30</f>
        <v>0</v>
      </c>
      <c r="J30" s="197" t="s">
        <v>23</v>
      </c>
      <c r="K30" s="197" t="s">
        <v>23</v>
      </c>
      <c r="L30" s="197" t="s">
        <v>23</v>
      </c>
      <c r="M30" s="197" t="s">
        <v>23</v>
      </c>
      <c r="N30" s="197" t="s">
        <v>23</v>
      </c>
      <c r="O30" s="96"/>
    </row>
    <row r="31" spans="2:19" ht="26.85" customHeight="1" x14ac:dyDescent="0.25">
      <c r="B31" s="364" t="s">
        <v>322</v>
      </c>
      <c r="C31" s="364"/>
      <c r="D31" s="310" t="s">
        <v>262</v>
      </c>
      <c r="E31" s="310"/>
      <c r="F31" s="821">
        <f>'GROUP Environment'!F31</f>
        <v>2052</v>
      </c>
      <c r="G31" s="617">
        <f>'GROUP Environment'!G31</f>
        <v>1856</v>
      </c>
      <c r="H31" s="377">
        <f>'GROUP Environment'!H31</f>
        <v>1673</v>
      </c>
      <c r="I31" s="377">
        <f>'GROUP Environment'!I31</f>
        <v>1783</v>
      </c>
      <c r="J31" s="197" t="s">
        <v>23</v>
      </c>
      <c r="K31" s="197" t="s">
        <v>23</v>
      </c>
      <c r="L31" s="197" t="s">
        <v>23</v>
      </c>
      <c r="M31" s="197" t="s">
        <v>23</v>
      </c>
      <c r="N31" s="197" t="s">
        <v>23</v>
      </c>
      <c r="O31" s="96"/>
    </row>
    <row r="32" spans="2:19" ht="26.85" customHeight="1" x14ac:dyDescent="0.25">
      <c r="B32" s="639" t="s">
        <v>289</v>
      </c>
      <c r="C32" s="566"/>
      <c r="D32" s="310" t="s">
        <v>262</v>
      </c>
      <c r="E32" s="310"/>
      <c r="F32" s="821">
        <f>SUM(F27:F31)</f>
        <v>69358</v>
      </c>
      <c r="G32" s="617">
        <f>SUM(G27:G31)</f>
        <v>80269</v>
      </c>
      <c r="H32" s="392">
        <f>SUM(H27:H31)</f>
        <v>71860</v>
      </c>
      <c r="I32" s="392">
        <f>SUM(I27:I31)</f>
        <v>76732</v>
      </c>
      <c r="J32" s="197" t="s">
        <v>23</v>
      </c>
      <c r="K32" s="197" t="s">
        <v>23</v>
      </c>
      <c r="L32" s="197" t="s">
        <v>23</v>
      </c>
      <c r="M32" s="197" t="s">
        <v>23</v>
      </c>
      <c r="N32" s="197" t="s">
        <v>23</v>
      </c>
      <c r="O32" s="96"/>
    </row>
    <row r="33" spans="2:15" ht="26.85" customHeight="1" x14ac:dyDescent="0.25">
      <c r="B33" s="639" t="s">
        <v>290</v>
      </c>
      <c r="C33" s="566"/>
      <c r="D33" s="310" t="s">
        <v>262</v>
      </c>
      <c r="E33" s="310"/>
      <c r="F33" s="794">
        <f>SUM(F27:F29)</f>
        <v>67306</v>
      </c>
      <c r="G33" s="620">
        <f>SUM(G27:G29)</f>
        <v>78413</v>
      </c>
      <c r="H33" s="392">
        <f>SUM(H27:H29)</f>
        <v>70187</v>
      </c>
      <c r="I33" s="392">
        <f>SUM(I27:I29)</f>
        <v>74949</v>
      </c>
      <c r="J33" s="197" t="s">
        <v>23</v>
      </c>
      <c r="K33" s="197" t="s">
        <v>23</v>
      </c>
      <c r="L33" s="197" t="s">
        <v>23</v>
      </c>
      <c r="M33" s="197" t="s">
        <v>23</v>
      </c>
      <c r="N33" s="197" t="s">
        <v>23</v>
      </c>
      <c r="O33" s="96"/>
    </row>
    <row r="34" spans="2:15" ht="40.5" customHeight="1" x14ac:dyDescent="0.2">
      <c r="B34" s="995" t="s">
        <v>323</v>
      </c>
      <c r="C34" s="995"/>
      <c r="D34" s="995"/>
      <c r="E34" s="995"/>
      <c r="F34" s="995"/>
      <c r="G34" s="995"/>
      <c r="H34" s="995"/>
      <c r="I34" s="995"/>
      <c r="J34" s="22"/>
      <c r="K34" s="22"/>
      <c r="L34" s="22"/>
      <c r="M34" s="22"/>
      <c r="N34" s="22"/>
      <c r="O34" s="96"/>
    </row>
    <row r="35" spans="2:15" ht="50.1" customHeight="1" x14ac:dyDescent="0.2">
      <c r="B35" s="122"/>
      <c r="C35" s="122"/>
      <c r="D35" s="137"/>
      <c r="E35" s="137"/>
      <c r="F35" s="137"/>
      <c r="G35" s="103"/>
      <c r="H35" s="89"/>
      <c r="I35" s="93"/>
      <c r="J35" s="132"/>
      <c r="K35" s="86"/>
      <c r="L35" s="86"/>
      <c r="M35" s="86"/>
      <c r="N35" s="86"/>
      <c r="O35" s="96"/>
    </row>
    <row r="36" spans="2:15" ht="26.85" customHeight="1" x14ac:dyDescent="0.2">
      <c r="B36" s="6" t="s">
        <v>292</v>
      </c>
      <c r="C36" s="6"/>
      <c r="D36" s="7" t="s">
        <v>9</v>
      </c>
      <c r="E36" s="7"/>
      <c r="F36" s="135" t="s">
        <v>10</v>
      </c>
      <c r="G36" s="9" t="s">
        <v>11</v>
      </c>
      <c r="H36" s="9" t="s">
        <v>12</v>
      </c>
      <c r="I36" s="9" t="s">
        <v>13</v>
      </c>
      <c r="J36" s="9" t="s">
        <v>14</v>
      </c>
      <c r="K36" s="9" t="s">
        <v>15</v>
      </c>
      <c r="L36" s="9" t="s">
        <v>16</v>
      </c>
      <c r="M36" s="9" t="s">
        <v>17</v>
      </c>
      <c r="N36" s="9" t="s">
        <v>18</v>
      </c>
      <c r="O36" s="81"/>
    </row>
    <row r="37" spans="2:15" ht="26.85" customHeight="1" x14ac:dyDescent="0.25">
      <c r="B37" s="604" t="s">
        <v>293</v>
      </c>
      <c r="C37" s="195"/>
      <c r="D37" s="311"/>
      <c r="E37" s="311"/>
      <c r="F37" s="827"/>
      <c r="G37" s="217"/>
      <c r="H37" s="191"/>
      <c r="I37" s="404"/>
      <c r="J37" s="407"/>
      <c r="K37" s="181"/>
      <c r="L37" s="181"/>
      <c r="M37" s="181"/>
      <c r="N37" s="181"/>
      <c r="O37" s="96"/>
    </row>
    <row r="38" spans="2:15" s="28" customFormat="1" ht="26.85" customHeight="1" x14ac:dyDescent="0.25">
      <c r="B38" s="359" t="s">
        <v>294</v>
      </c>
      <c r="C38" s="344"/>
      <c r="D38" s="548" t="s">
        <v>295</v>
      </c>
      <c r="E38" s="548"/>
      <c r="F38" s="794">
        <v>0</v>
      </c>
      <c r="G38" s="620">
        <v>0</v>
      </c>
      <c r="H38" s="560">
        <v>0.3</v>
      </c>
      <c r="I38" s="407" t="s">
        <v>219</v>
      </c>
      <c r="J38" s="407" t="s">
        <v>219</v>
      </c>
      <c r="K38" s="407" t="s">
        <v>219</v>
      </c>
      <c r="L38" s="407" t="s">
        <v>219</v>
      </c>
      <c r="M38" s="407" t="s">
        <v>219</v>
      </c>
      <c r="N38" s="407" t="s">
        <v>219</v>
      </c>
      <c r="O38" s="297"/>
    </row>
    <row r="39" spans="2:15" ht="26.85" customHeight="1" x14ac:dyDescent="0.25">
      <c r="B39" s="605" t="s">
        <v>296</v>
      </c>
      <c r="C39" s="362"/>
      <c r="D39" s="310" t="s">
        <v>25</v>
      </c>
      <c r="E39" s="310"/>
      <c r="F39" s="794">
        <v>0</v>
      </c>
      <c r="G39" s="620">
        <v>0</v>
      </c>
      <c r="H39" s="620">
        <v>0</v>
      </c>
      <c r="I39" s="620">
        <v>0</v>
      </c>
      <c r="J39" s="620">
        <v>0</v>
      </c>
      <c r="K39" s="620">
        <v>0</v>
      </c>
      <c r="L39" s="620">
        <v>0</v>
      </c>
      <c r="M39" s="620">
        <v>0</v>
      </c>
      <c r="N39" s="620">
        <v>0</v>
      </c>
      <c r="O39" s="96"/>
    </row>
    <row r="40" spans="2:15" ht="26.85" customHeight="1" x14ac:dyDescent="0.25">
      <c r="B40" s="359" t="s">
        <v>297</v>
      </c>
      <c r="C40" s="344"/>
      <c r="D40" s="310" t="s">
        <v>25</v>
      </c>
      <c r="E40" s="310"/>
      <c r="F40" s="794">
        <v>0</v>
      </c>
      <c r="G40" s="620">
        <v>0</v>
      </c>
      <c r="H40" s="620">
        <v>0</v>
      </c>
      <c r="I40" s="620">
        <v>0</v>
      </c>
      <c r="J40" s="620">
        <v>0</v>
      </c>
      <c r="K40" s="620">
        <v>0</v>
      </c>
      <c r="L40" s="620">
        <v>0</v>
      </c>
      <c r="M40" s="620">
        <v>0</v>
      </c>
      <c r="N40" s="620">
        <v>0</v>
      </c>
      <c r="O40" s="96"/>
    </row>
    <row r="41" spans="2:15" ht="26.85" customHeight="1" x14ac:dyDescent="0.25">
      <c r="B41" s="604" t="s">
        <v>298</v>
      </c>
      <c r="C41" s="195"/>
      <c r="D41" s="310"/>
      <c r="E41" s="310"/>
      <c r="F41" s="233"/>
      <c r="G41" s="433"/>
      <c r="H41" s="436"/>
      <c r="I41" s="404"/>
      <c r="J41" s="197"/>
      <c r="K41" s="197"/>
      <c r="L41" s="197"/>
      <c r="M41" s="197"/>
      <c r="N41" s="197"/>
      <c r="O41" s="96"/>
    </row>
    <row r="42" spans="2:15" ht="26.85" customHeight="1" x14ac:dyDescent="0.25">
      <c r="B42" s="605" t="s">
        <v>299</v>
      </c>
      <c r="C42" s="362"/>
      <c r="D42" s="310" t="s">
        <v>25</v>
      </c>
      <c r="E42" s="310"/>
      <c r="F42" s="794">
        <f>'GROUP Environment'!F42</f>
        <v>699</v>
      </c>
      <c r="G42" s="620">
        <v>1162</v>
      </c>
      <c r="H42" s="197">
        <v>1051</v>
      </c>
      <c r="I42" s="197">
        <v>943</v>
      </c>
      <c r="J42" s="197">
        <v>1246</v>
      </c>
      <c r="K42" s="197">
        <v>1251</v>
      </c>
      <c r="L42" s="197">
        <v>904</v>
      </c>
      <c r="M42" s="197">
        <v>995</v>
      </c>
      <c r="N42" s="197">
        <v>1074</v>
      </c>
      <c r="O42" s="96"/>
    </row>
    <row r="43" spans="2:15" ht="26.85" customHeight="1" x14ac:dyDescent="0.25">
      <c r="B43" s="359" t="s">
        <v>300</v>
      </c>
      <c r="C43" s="344"/>
      <c r="D43" s="310" t="s">
        <v>25</v>
      </c>
      <c r="E43" s="310"/>
      <c r="F43" s="794">
        <f>'GROUP Environment'!F43</f>
        <v>193</v>
      </c>
      <c r="G43" s="620">
        <v>346</v>
      </c>
      <c r="H43" s="423">
        <v>253</v>
      </c>
      <c r="I43" s="197">
        <v>178</v>
      </c>
      <c r="J43" s="197">
        <v>447</v>
      </c>
      <c r="K43" s="197">
        <v>555</v>
      </c>
      <c r="L43" s="197">
        <v>303</v>
      </c>
      <c r="M43" s="197">
        <v>426</v>
      </c>
      <c r="N43" s="197">
        <v>567</v>
      </c>
      <c r="O43" s="96"/>
    </row>
    <row r="44" spans="2:15" ht="50.1" customHeight="1" x14ac:dyDescent="0.2">
      <c r="B44" s="363"/>
      <c r="C44" s="363"/>
      <c r="D44" s="137"/>
      <c r="E44" s="137"/>
      <c r="F44" s="137"/>
      <c r="G44" s="119"/>
      <c r="H44" s="90"/>
      <c r="I44" s="145"/>
      <c r="J44" s="132"/>
      <c r="K44" s="86"/>
      <c r="L44" s="86"/>
      <c r="M44" s="86"/>
      <c r="N44" s="86"/>
      <c r="O44" s="96"/>
    </row>
    <row r="45" spans="2:15" ht="26.85" customHeight="1" x14ac:dyDescent="0.2">
      <c r="B45" s="6" t="s">
        <v>301</v>
      </c>
      <c r="C45" s="6"/>
      <c r="D45" s="7" t="s">
        <v>9</v>
      </c>
      <c r="E45" s="7"/>
      <c r="F45" s="135" t="s">
        <v>10</v>
      </c>
      <c r="G45" s="9" t="s">
        <v>11</v>
      </c>
      <c r="H45" s="9" t="s">
        <v>12</v>
      </c>
      <c r="I45" s="9" t="s">
        <v>13</v>
      </c>
      <c r="J45" s="9" t="s">
        <v>14</v>
      </c>
      <c r="K45" s="9" t="s">
        <v>15</v>
      </c>
      <c r="L45" s="9" t="s">
        <v>16</v>
      </c>
      <c r="M45" s="9" t="s">
        <v>17</v>
      </c>
      <c r="N45" s="9" t="s">
        <v>18</v>
      </c>
      <c r="O45" s="81"/>
    </row>
    <row r="46" spans="2:15" ht="26.85" customHeight="1" x14ac:dyDescent="0.25">
      <c r="B46" s="238" t="s">
        <v>302</v>
      </c>
      <c r="C46" s="238"/>
      <c r="D46" s="307" t="s">
        <v>31</v>
      </c>
      <c r="E46" s="307"/>
      <c r="F46" s="810">
        <v>1</v>
      </c>
      <c r="G46" s="824">
        <v>1</v>
      </c>
      <c r="H46" s="383">
        <v>1</v>
      </c>
      <c r="I46" s="435">
        <v>1</v>
      </c>
      <c r="J46" s="424">
        <v>1</v>
      </c>
      <c r="K46" s="435">
        <v>1</v>
      </c>
      <c r="L46" s="435">
        <v>1</v>
      </c>
      <c r="M46" s="435">
        <v>1</v>
      </c>
      <c r="N46" s="435">
        <v>1</v>
      </c>
      <c r="O46" s="147"/>
    </row>
    <row r="47" spans="2:15" ht="50.1" customHeight="1" x14ac:dyDescent="0.2">
      <c r="B47" s="122"/>
      <c r="C47" s="122"/>
      <c r="D47" s="137"/>
      <c r="E47" s="137"/>
      <c r="F47" s="137"/>
      <c r="G47" s="21"/>
      <c r="H47" s="33"/>
      <c r="I47" s="146"/>
      <c r="J47" s="148"/>
      <c r="K47" s="149"/>
      <c r="L47" s="149"/>
      <c r="M47" s="149"/>
      <c r="N47" s="149"/>
      <c r="O47" s="147"/>
    </row>
    <row r="48" spans="2:15" ht="26.85" customHeight="1" x14ac:dyDescent="0.2">
      <c r="B48" s="6" t="s">
        <v>303</v>
      </c>
      <c r="C48" s="6"/>
      <c r="D48" s="7" t="s">
        <v>9</v>
      </c>
      <c r="E48" s="7"/>
      <c r="F48" s="135" t="s">
        <v>10</v>
      </c>
      <c r="G48" s="9" t="s">
        <v>11</v>
      </c>
      <c r="H48" s="9" t="s">
        <v>12</v>
      </c>
      <c r="I48" s="9" t="s">
        <v>13</v>
      </c>
      <c r="J48" s="9" t="s">
        <v>14</v>
      </c>
      <c r="K48" s="9" t="s">
        <v>15</v>
      </c>
      <c r="L48" s="9" t="s">
        <v>16</v>
      </c>
      <c r="M48" s="9" t="s">
        <v>17</v>
      </c>
      <c r="N48" s="9" t="s">
        <v>18</v>
      </c>
      <c r="O48" s="81"/>
    </row>
    <row r="49" spans="2:15" ht="26.85" customHeight="1" x14ac:dyDescent="0.25">
      <c r="B49" s="234" t="s">
        <v>304</v>
      </c>
      <c r="C49" s="234"/>
      <c r="D49" s="308"/>
      <c r="E49" s="308"/>
      <c r="F49" s="828"/>
      <c r="G49" s="433"/>
      <c r="H49" s="402"/>
      <c r="I49" s="244"/>
      <c r="J49" s="199"/>
      <c r="K49" s="244"/>
      <c r="L49" s="244"/>
      <c r="M49" s="244"/>
      <c r="N49" s="244"/>
      <c r="O49" s="150"/>
    </row>
    <row r="50" spans="2:15" ht="26.85" customHeight="1" x14ac:dyDescent="0.25">
      <c r="B50" s="357" t="s">
        <v>305</v>
      </c>
      <c r="C50" s="357"/>
      <c r="D50" s="309" t="s">
        <v>25</v>
      </c>
      <c r="E50" s="309"/>
      <c r="F50" s="794">
        <v>0</v>
      </c>
      <c r="G50" s="620">
        <v>0</v>
      </c>
      <c r="H50" s="259">
        <v>0</v>
      </c>
      <c r="I50" s="244">
        <v>0</v>
      </c>
      <c r="J50" s="433">
        <v>0</v>
      </c>
      <c r="K50" s="434">
        <v>0</v>
      </c>
      <c r="L50" s="434">
        <v>0</v>
      </c>
      <c r="M50" s="434">
        <v>0</v>
      </c>
      <c r="N50" s="434">
        <v>0</v>
      </c>
      <c r="O50" s="69"/>
    </row>
    <row r="51" spans="2:15" ht="26.85" customHeight="1" x14ac:dyDescent="0.25">
      <c r="B51" s="235" t="s">
        <v>306</v>
      </c>
      <c r="C51" s="235"/>
      <c r="D51" s="310"/>
      <c r="E51" s="310"/>
      <c r="F51" s="233"/>
      <c r="G51" s="433"/>
      <c r="H51" s="259"/>
      <c r="I51" s="244"/>
      <c r="J51" s="433"/>
      <c r="K51" s="434"/>
      <c r="L51" s="434"/>
      <c r="M51" s="434"/>
      <c r="N51" s="434"/>
      <c r="O51" s="69"/>
    </row>
    <row r="52" spans="2:15" ht="26.85" customHeight="1" x14ac:dyDescent="0.25">
      <c r="B52" s="357" t="s">
        <v>307</v>
      </c>
      <c r="C52" s="357"/>
      <c r="D52" s="310" t="s">
        <v>25</v>
      </c>
      <c r="E52" s="310"/>
      <c r="F52" s="794">
        <v>0</v>
      </c>
      <c r="G52" s="620">
        <v>0</v>
      </c>
      <c r="H52" s="423">
        <f>SUM('Ausgrid Environment'!H48,'PLUS ES Environment'!H33)</f>
        <v>0</v>
      </c>
      <c r="I52" s="423">
        <f>SUM('Ausgrid Environment'!I48,'PLUS ES Environment'!I33)</f>
        <v>0</v>
      </c>
      <c r="J52" s="423">
        <f>SUM('Ausgrid Environment'!J48,'PLUS ES Environment'!J33)</f>
        <v>0</v>
      </c>
      <c r="K52" s="423">
        <f>SUM('Ausgrid Environment'!K48,'PLUS ES Environment'!K33)</f>
        <v>0</v>
      </c>
      <c r="L52" s="423">
        <f>SUM('Ausgrid Environment'!L48,'PLUS ES Environment'!L33)</f>
        <v>0</v>
      </c>
      <c r="M52" s="423">
        <f>SUM('Ausgrid Environment'!M48,'PLUS ES Environment'!M33)</f>
        <v>0</v>
      </c>
      <c r="N52" s="423">
        <f>SUM('Ausgrid Environment'!N48,'PLUS ES Environment'!N33)</f>
        <v>0</v>
      </c>
      <c r="O52" s="69"/>
    </row>
    <row r="53" spans="2:15" ht="26.85" customHeight="1" x14ac:dyDescent="0.25">
      <c r="B53" s="358" t="s">
        <v>308</v>
      </c>
      <c r="C53" s="357"/>
      <c r="D53" s="310" t="s">
        <v>25</v>
      </c>
      <c r="E53" s="310"/>
      <c r="F53" s="794">
        <v>1</v>
      </c>
      <c r="G53" s="620">
        <v>1</v>
      </c>
      <c r="H53" s="423">
        <v>1</v>
      </c>
      <c r="I53" s="423">
        <v>3</v>
      </c>
      <c r="J53" s="423">
        <f>SUM('Ausgrid Environment'!J49,'PLUS ES Environment'!J34)</f>
        <v>0</v>
      </c>
      <c r="K53" s="423">
        <v>7</v>
      </c>
      <c r="L53" s="423">
        <v>2</v>
      </c>
      <c r="M53" s="423">
        <f>SUM('Ausgrid Environment'!M49,'PLUS ES Environment'!M34)</f>
        <v>0</v>
      </c>
      <c r="N53" s="423">
        <v>10</v>
      </c>
      <c r="O53" s="69"/>
    </row>
    <row r="54" spans="2:15" ht="26.85" customHeight="1" x14ac:dyDescent="0.25">
      <c r="B54" s="357" t="s">
        <v>309</v>
      </c>
      <c r="C54" s="357"/>
      <c r="D54" s="310" t="s">
        <v>25</v>
      </c>
      <c r="E54" s="310"/>
      <c r="F54" s="794">
        <v>0</v>
      </c>
      <c r="G54" s="620">
        <v>0</v>
      </c>
      <c r="H54" s="423">
        <f>SUM('Ausgrid Environment'!H50,'PLUS ES Environment'!H35)</f>
        <v>0</v>
      </c>
      <c r="I54" s="423">
        <f>SUM('Ausgrid Environment'!I50,'PLUS ES Environment'!I35)</f>
        <v>0</v>
      </c>
      <c r="J54" s="423">
        <f>SUM('Ausgrid Environment'!J50,'PLUS ES Environment'!J35)</f>
        <v>0</v>
      </c>
      <c r="K54" s="423">
        <v>1</v>
      </c>
      <c r="L54" s="423">
        <f>SUM('Ausgrid Environment'!L50,'PLUS ES Environment'!L35)</f>
        <v>0</v>
      </c>
      <c r="M54" s="423">
        <f>SUM('Ausgrid Environment'!M50,'PLUS ES Environment'!M35)</f>
        <v>0</v>
      </c>
      <c r="N54" s="423">
        <f>SUM('Ausgrid Environment'!N50,'PLUS ES Environment'!N35)</f>
        <v>0</v>
      </c>
      <c r="O54" s="69"/>
    </row>
    <row r="55" spans="2:15" ht="26.85" customHeight="1" x14ac:dyDescent="0.25">
      <c r="B55" s="359" t="s">
        <v>310</v>
      </c>
      <c r="C55" s="344"/>
      <c r="D55" s="310" t="s">
        <v>25</v>
      </c>
      <c r="E55" s="310"/>
      <c r="F55" s="794">
        <v>39</v>
      </c>
      <c r="G55" s="620">
        <v>48</v>
      </c>
      <c r="H55" s="423">
        <v>48</v>
      </c>
      <c r="I55" s="423">
        <v>46</v>
      </c>
      <c r="J55" s="423">
        <v>53</v>
      </c>
      <c r="K55" s="423">
        <v>65</v>
      </c>
      <c r="L55" s="423">
        <v>55</v>
      </c>
      <c r="M55" s="423">
        <v>46</v>
      </c>
      <c r="N55" s="423">
        <v>76</v>
      </c>
      <c r="O55" s="69"/>
    </row>
    <row r="56" spans="2:15" ht="26.85" customHeight="1" x14ac:dyDescent="0.25">
      <c r="B56" s="615"/>
      <c r="C56" s="642"/>
      <c r="D56" s="122"/>
      <c r="E56" s="122"/>
      <c r="F56" s="122"/>
      <c r="G56" s="641"/>
      <c r="H56" s="16"/>
      <c r="I56" s="22"/>
      <c r="J56" s="22"/>
      <c r="K56" s="22"/>
      <c r="L56" s="22"/>
      <c r="M56" s="22"/>
      <c r="N56" s="22"/>
      <c r="O56" s="69"/>
    </row>
    <row r="57" spans="2:15" ht="15.6" customHeight="1" x14ac:dyDescent="0.2">
      <c r="B57" s="14"/>
      <c r="C57" s="14"/>
      <c r="D57" s="137"/>
      <c r="E57" s="137"/>
      <c r="F57" s="137"/>
      <c r="G57" s="272"/>
      <c r="H57" s="12"/>
      <c r="I57" s="22"/>
      <c r="J57" s="22"/>
      <c r="K57" s="22"/>
      <c r="L57" s="22"/>
      <c r="M57" s="22"/>
      <c r="N57" s="22"/>
      <c r="O57" s="69"/>
    </row>
    <row r="58" spans="2:15" ht="15.6" customHeight="1" x14ac:dyDescent="0.2">
      <c r="B58" s="107"/>
      <c r="C58" s="107"/>
      <c r="D58" s="69"/>
      <c r="E58" s="69"/>
      <c r="F58" s="69"/>
      <c r="G58" s="71"/>
      <c r="H58" s="119"/>
      <c r="I58" s="119"/>
      <c r="J58" s="119"/>
      <c r="K58" s="119"/>
      <c r="L58" s="119"/>
      <c r="M58" s="119"/>
      <c r="N58" s="119"/>
      <c r="O58" s="69"/>
    </row>
    <row r="59" spans="2:15" x14ac:dyDescent="0.2">
      <c r="B59" s="990"/>
      <c r="C59" s="991"/>
      <c r="D59" s="992"/>
      <c r="E59" s="992"/>
      <c r="F59" s="992"/>
      <c r="G59" s="992"/>
      <c r="H59" s="992"/>
      <c r="I59" s="992"/>
      <c r="J59" s="992"/>
      <c r="K59" s="992"/>
      <c r="L59" s="992"/>
      <c r="M59" s="992"/>
      <c r="N59" s="992"/>
      <c r="O59" s="39"/>
    </row>
    <row r="60" spans="2:15" ht="14.25" x14ac:dyDescent="0.2">
      <c r="B60" s="615"/>
      <c r="C60" s="134"/>
      <c r="D60" s="134"/>
      <c r="E60" s="134"/>
      <c r="F60" s="134"/>
      <c r="G60" s="134"/>
      <c r="H60" s="134"/>
      <c r="I60" s="134"/>
      <c r="J60" s="134"/>
      <c r="K60" s="37"/>
      <c r="L60" s="37"/>
      <c r="M60" s="37"/>
      <c r="N60" s="37"/>
    </row>
    <row r="61" spans="2:15" x14ac:dyDescent="0.2">
      <c r="B61" s="615"/>
      <c r="D61" s="68"/>
      <c r="E61" s="68"/>
      <c r="F61" s="68"/>
      <c r="H61" s="68"/>
      <c r="I61" s="68"/>
      <c r="J61" s="68"/>
      <c r="K61" s="68"/>
      <c r="L61" s="68"/>
      <c r="M61" s="68"/>
      <c r="N61" s="68"/>
    </row>
    <row r="62" spans="2:15" x14ac:dyDescent="0.2">
      <c r="B62" s="615"/>
      <c r="D62" s="68"/>
      <c r="E62" s="68"/>
      <c r="F62" s="68"/>
      <c r="H62" s="68"/>
      <c r="I62" s="68"/>
      <c r="J62" s="68"/>
      <c r="K62" s="68"/>
      <c r="L62" s="68"/>
      <c r="M62" s="68"/>
      <c r="N62" s="68"/>
    </row>
    <row r="63" spans="2:15" x14ac:dyDescent="0.2">
      <c r="B63" s="615"/>
      <c r="D63" s="68"/>
      <c r="E63" s="68"/>
      <c r="F63" s="68"/>
      <c r="H63" s="68"/>
      <c r="I63" s="68"/>
      <c r="J63" s="68"/>
      <c r="K63" s="68"/>
      <c r="L63" s="68"/>
      <c r="M63" s="68"/>
      <c r="N63" s="68"/>
    </row>
    <row r="64" spans="2:15" x14ac:dyDescent="0.2">
      <c r="B64" s="615"/>
      <c r="D64" s="68"/>
      <c r="E64" s="68"/>
      <c r="F64" s="68"/>
      <c r="H64" s="68"/>
      <c r="I64" s="68"/>
      <c r="J64" s="68"/>
      <c r="K64" s="68"/>
      <c r="L64" s="68"/>
      <c r="M64" s="68"/>
      <c r="N64" s="68"/>
    </row>
    <row r="65" spans="2:14" x14ac:dyDescent="0.2">
      <c r="B65" s="615"/>
      <c r="D65" s="68"/>
      <c r="E65" s="68"/>
      <c r="F65" s="68"/>
      <c r="H65" s="68"/>
      <c r="I65" s="68"/>
      <c r="J65" s="68"/>
      <c r="K65" s="68"/>
      <c r="L65" s="68"/>
      <c r="M65" s="68"/>
      <c r="N65" s="68"/>
    </row>
    <row r="66" spans="2:14" x14ac:dyDescent="0.2">
      <c r="D66" s="68"/>
      <c r="E66" s="68"/>
      <c r="F66" s="68"/>
      <c r="H66" s="68"/>
      <c r="I66" s="68"/>
      <c r="J66" s="68"/>
      <c r="K66" s="68"/>
      <c r="L66" s="68"/>
      <c r="M66" s="68"/>
      <c r="N66" s="68"/>
    </row>
    <row r="69" spans="2:14" ht="39" customHeight="1" x14ac:dyDescent="0.2">
      <c r="B69" s="993"/>
      <c r="C69" s="993"/>
      <c r="D69" s="994"/>
      <c r="E69" s="994"/>
      <c r="F69" s="994"/>
      <c r="G69" s="994"/>
      <c r="H69" s="994"/>
      <c r="I69" s="994"/>
      <c r="J69" s="994"/>
      <c r="K69" s="994"/>
      <c r="L69" s="994"/>
      <c r="M69" s="994"/>
    </row>
  </sheetData>
  <sheetProtection algorithmName="SHA-512" hashValue="b6PNcHPwJPQFmeMJkmxXHE39w+yaKPiJxUy6bxnBSqfJfZARwr7F8ECHfRiMKjrblPO5B7IK24nykrFUHdTreQ==" saltValue="PCri8K2sbe3IPGLNCbEBbQ==" spinCount="100000" sheet="1" objects="1" scenarios="1"/>
  <protectedRanges>
    <protectedRange algorithmName="SHA-512" hashValue="SBmVKL1PmbJO4BEGzBE2xSftKq5NiG1q1emuti/GVfceCNi5g6XOmQ1IMu3DBdkx1ZhRvUtbpcPo4ef6OYQSig==" saltValue="08oHF2zO3UoJG6Nlb1OgOA==" spinCount="100000" sqref="K20 K26 K22:K23 K4:K5 K15:K18 K44:K51 K35:K37 K9 O6:O8" name="FY20_1_2"/>
    <protectedRange algorithmName="SHA-512" hashValue="SBmVKL1PmbJO4BEGzBE2xSftKq5NiG1q1emuti/GVfceCNi5g6XOmQ1IMu3DBdkx1ZhRvUtbpcPo4ef6OYQSig==" saltValue="08oHF2zO3UoJG6Nlb1OgOA==" spinCount="100000" sqref="J26 I14 I22:J23 I4:J5 I15:J18 I44:J51 I35:J37 I9:J9 I20:J20 H32:I34" name="FY20_3_2"/>
    <protectedRange algorithmName="SHA-512" hashValue="SBmVKL1PmbJO4BEGzBE2xSftKq5NiG1q1emuti/GVfceCNi5g6XOmQ1IMu3DBdkx1ZhRvUtbpcPo4ef6OYQSig==" saltValue="08oHF2zO3UoJG6Nlb1OgOA==" spinCount="100000" sqref="I56:N57 J14:O14 H22:H31 I12:O13 J24:N25 G17:G34 G42:G43 G56:G57 G10:G13 G38:G40 H21:N21 H10:O11 I24:I31 H17 H19:N19 J27:N34 F50:G50 F6:N8 F17 F10:F12 F27:F33 F24:F25 F21 F19" name="FY20_3_2_1"/>
    <protectedRange algorithmName="SHA-512" hashValue="SBmVKL1PmbJO4BEGzBE2xSftKq5NiG1q1emuti/GVfceCNi5g6XOmQ1IMu3DBdkx1ZhRvUtbpcPo4ef6OYQSig==" saltValue="08oHF2zO3UoJG6Nlb1OgOA==" spinCount="100000" sqref="J41:N41" name="FY20_3_2_1_2"/>
    <protectedRange algorithmName="SHA-512" hashValue="SBmVKL1PmbJO4BEGzBE2xSftKq5NiG1q1emuti/GVfceCNi5g6XOmQ1IMu3DBdkx1ZhRvUtbpcPo4ef6OYQSig==" saltValue="08oHF2zO3UoJG6Nlb1OgOA==" spinCount="100000" sqref="H39:N40 H38" name="FY20_3_2_1_15_12_1"/>
    <protectedRange algorithmName="SHA-512" hashValue="SBmVKL1PmbJO4BEGzBE2xSftKq5NiG1q1emuti/GVfceCNi5g6XOmQ1IMu3DBdkx1ZhRvUtbpcPo4ef6OYQSig==" saltValue="08oHF2zO3UoJG6Nlb1OgOA==" spinCount="100000" sqref="H42:N43" name="FY20_3_2_1_15_17_1"/>
    <protectedRange algorithmName="SHA-512" hashValue="SBmVKL1PmbJO4BEGzBE2xSftKq5NiG1q1emuti/GVfceCNi5g6XOmQ1IMu3DBdkx1ZhRvUtbpcPo4ef6OYQSig==" saltValue="08oHF2zO3UoJG6Nlb1OgOA==" spinCount="100000" sqref="I38" name="FY20_3_2_1_1"/>
    <protectedRange algorithmName="SHA-512" hashValue="SBmVKL1PmbJO4BEGzBE2xSftKq5NiG1q1emuti/GVfceCNi5g6XOmQ1IMu3DBdkx1ZhRvUtbpcPo4ef6OYQSig==" saltValue="08oHF2zO3UoJG6Nlb1OgOA==" spinCount="100000" sqref="J38" name="FY20_3_2_1_3"/>
    <protectedRange algorithmName="SHA-512" hashValue="SBmVKL1PmbJO4BEGzBE2xSftKq5NiG1q1emuti/GVfceCNi5g6XOmQ1IMu3DBdkx1ZhRvUtbpcPo4ef6OYQSig==" saltValue="08oHF2zO3UoJG6Nlb1OgOA==" spinCount="100000" sqref="K38" name="FY20_3_2_1_4"/>
    <protectedRange algorithmName="SHA-512" hashValue="SBmVKL1PmbJO4BEGzBE2xSftKq5NiG1q1emuti/GVfceCNi5g6XOmQ1IMu3DBdkx1ZhRvUtbpcPo4ef6OYQSig==" saltValue="08oHF2zO3UoJG6Nlb1OgOA==" spinCount="100000" sqref="L38" name="FY20_3_2_1_5"/>
    <protectedRange algorithmName="SHA-512" hashValue="SBmVKL1PmbJO4BEGzBE2xSftKq5NiG1q1emuti/GVfceCNi5g6XOmQ1IMu3DBdkx1ZhRvUtbpcPo4ef6OYQSig==" saltValue="08oHF2zO3UoJG6Nlb1OgOA==" spinCount="100000" sqref="M38" name="FY20_3_2_1_7"/>
    <protectedRange algorithmName="SHA-512" hashValue="SBmVKL1PmbJO4BEGzBE2xSftKq5NiG1q1emuti/GVfceCNi5g6XOmQ1IMu3DBdkx1ZhRvUtbpcPo4ef6OYQSig==" saltValue="08oHF2zO3UoJG6Nlb1OgOA==" spinCount="100000" sqref="N38" name="FY20_3_2_1_8"/>
    <protectedRange algorithmName="SHA-512" hashValue="SBmVKL1PmbJO4BEGzBE2xSftKq5NiG1q1emuti/GVfceCNi5g6XOmQ1IMu3DBdkx1ZhRvUtbpcPo4ef6OYQSig==" saltValue="08oHF2zO3UoJG6Nlb1OgOA==" spinCount="100000" sqref="F52:N55" name="FY20_3_2_1_15_21"/>
  </protectedRanges>
  <mergeCells count="3">
    <mergeCell ref="B59:N59"/>
    <mergeCell ref="B69:M69"/>
    <mergeCell ref="B34:I34"/>
  </mergeCells>
  <hyperlinks>
    <hyperlink ref="B22" r:id="rId1" display="Water outflows / discharges (GRESB Categories)" xr:uid="{8D5C116C-05AC-438A-9551-831ED0748A31}"/>
  </hyperlinks>
  <pageMargins left="0.7" right="0.7" top="0.75" bottom="0.75" header="0.3" footer="0.3"/>
  <pageSetup paperSize="9" scale="27" orientation="portrait" r:id="rId2"/>
  <headerFooter>
    <oddFooter>&amp;L_x000D_&amp;1#&amp;"Calibri"&amp;8&amp;K000000 Unclassified</oddFooter>
  </headerFooter>
  <ignoredErrors>
    <ignoredError sqref="H33:I33" formulaRange="1"/>
  </ignoredError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29264-C80F-43B1-8593-B361E2B224C1}">
  <sheetPr codeName="Sheet7">
    <tabColor theme="5" tint="0.79998168889431442"/>
    <pageSetUpPr fitToPage="1"/>
  </sheetPr>
  <dimension ref="B1:N48"/>
  <sheetViews>
    <sheetView showGridLines="0" zoomScale="90" zoomScaleNormal="90" workbookViewId="0">
      <selection activeCell="I31" sqref="I31"/>
    </sheetView>
  </sheetViews>
  <sheetFormatPr defaultColWidth="8.5703125" defaultRowHeight="15" x14ac:dyDescent="0.2"/>
  <cols>
    <col min="1" max="1" width="4.42578125" style="37" customWidth="1"/>
    <col min="2" max="2" width="72.42578125" style="37" customWidth="1"/>
    <col min="3" max="3" width="20.5703125" style="37" customWidth="1"/>
    <col min="4" max="4" width="11.42578125" style="40" customWidth="1"/>
    <col min="5" max="6" width="15.42578125" style="40" customWidth="1"/>
    <col min="7" max="7" width="21.5703125" style="68" customWidth="1"/>
    <col min="8" max="13" width="21.5703125" style="29" customWidth="1"/>
    <col min="14" max="14" width="15.5703125" style="48" customWidth="1"/>
    <col min="15" max="15" width="10.42578125" style="37" bestFit="1" customWidth="1"/>
    <col min="16" max="19" width="8.5703125" style="37" bestFit="1" customWidth="1"/>
    <col min="20" max="16384" width="8.5703125" style="37"/>
  </cols>
  <sheetData>
    <row r="1" spans="2:14" ht="24.6" customHeight="1" x14ac:dyDescent="0.2"/>
    <row r="2" spans="2:14" ht="81" customHeight="1" x14ac:dyDescent="0.2">
      <c r="B2" s="682"/>
      <c r="C2" s="343" t="s">
        <v>311</v>
      </c>
      <c r="D2" s="337"/>
      <c r="E2" s="337"/>
      <c r="F2" s="337"/>
      <c r="G2" s="465"/>
      <c r="H2" s="337"/>
      <c r="I2" s="337"/>
      <c r="J2" s="337"/>
      <c r="K2" s="337"/>
      <c r="L2" s="337"/>
      <c r="M2" s="277"/>
    </row>
    <row r="3" spans="2:14" ht="25.5" customHeight="1" x14ac:dyDescent="0.2">
      <c r="B3" s="70"/>
      <c r="C3" s="70"/>
      <c r="D3" s="70"/>
      <c r="E3" s="70"/>
      <c r="F3" s="70"/>
      <c r="G3" s="70"/>
      <c r="H3" s="12"/>
      <c r="I3" s="12"/>
      <c r="J3" s="12"/>
    </row>
    <row r="4" spans="2:14" ht="26.85" customHeight="1" x14ac:dyDescent="0.2">
      <c r="B4" s="6" t="s">
        <v>257</v>
      </c>
      <c r="C4" s="6"/>
      <c r="D4" s="7" t="s">
        <v>9</v>
      </c>
      <c r="E4" s="7"/>
      <c r="F4" s="8" t="s">
        <v>10</v>
      </c>
      <c r="G4" s="9" t="s">
        <v>11</v>
      </c>
      <c r="H4" s="9" t="s">
        <v>12</v>
      </c>
      <c r="I4" s="9" t="s">
        <v>13</v>
      </c>
      <c r="J4" s="9" t="s">
        <v>14</v>
      </c>
      <c r="K4" s="9" t="s">
        <v>15</v>
      </c>
      <c r="L4" s="9" t="s">
        <v>16</v>
      </c>
      <c r="M4" s="9" t="s">
        <v>17</v>
      </c>
      <c r="N4" s="81"/>
    </row>
    <row r="5" spans="2:14" ht="26.85" customHeight="1" x14ac:dyDescent="0.25">
      <c r="B5" s="234" t="s">
        <v>258</v>
      </c>
      <c r="C5" s="234"/>
      <c r="D5" s="238"/>
      <c r="E5" s="238"/>
      <c r="F5" s="236"/>
      <c r="G5" s="433"/>
      <c r="H5" s="402"/>
      <c r="I5" s="244"/>
      <c r="J5" s="199"/>
      <c r="K5" s="244"/>
      <c r="L5" s="244"/>
      <c r="M5" s="244"/>
      <c r="N5" s="69"/>
    </row>
    <row r="6" spans="2:14" ht="26.85" customHeight="1" x14ac:dyDescent="0.25">
      <c r="B6" s="357" t="s">
        <v>259</v>
      </c>
      <c r="C6" s="357"/>
      <c r="D6" s="251" t="s">
        <v>260</v>
      </c>
      <c r="E6" s="251"/>
      <c r="F6" s="821">
        <f>'GROUP Environment'!F6*'PLUS ES Emissions'!F$46</f>
        <v>56.818300682563603</v>
      </c>
      <c r="G6" s="617">
        <f>'GROUP Environment'!G6*'PLUS ES Emissions'!G$46</f>
        <v>63.344262295081968</v>
      </c>
      <c r="H6" s="439">
        <f>'GROUP Environment'!H6*'PLUS ES Emissions'!H$46</f>
        <v>88.746100587851075</v>
      </c>
      <c r="I6" s="439">
        <f>'GROUP Environment'!I6*'PLUS ES Emissions'!I$46</f>
        <v>73.009289617486331</v>
      </c>
      <c r="J6" s="439">
        <f>'GROUP Environment'!J6*'PLUS ES Emissions'!J$46</f>
        <v>83.693977591036415</v>
      </c>
      <c r="K6" s="439">
        <f>'GROUP Environment'!K6*'PLUS ES Emissions'!K$46</f>
        <v>82.054643082754254</v>
      </c>
      <c r="L6" s="439">
        <f>'GROUP Environment'!L6*'PLUS ES Emissions'!L$46</f>
        <v>95.265334443519293</v>
      </c>
      <c r="M6" s="439">
        <f>'GROUP Environment'!M6*'PLUS ES Emissions'!M$46</f>
        <v>174.91208499335988</v>
      </c>
      <c r="N6" s="69"/>
    </row>
    <row r="7" spans="2:14" ht="26.85" customHeight="1" x14ac:dyDescent="0.25">
      <c r="B7" s="357" t="s">
        <v>261</v>
      </c>
      <c r="C7" s="357"/>
      <c r="D7" s="251" t="s">
        <v>262</v>
      </c>
      <c r="E7" s="251"/>
      <c r="F7" s="821">
        <f>'GROUP Environment'!F7*'PLUS ES Emissions'!F$46</f>
        <v>2.9741664239492445</v>
      </c>
      <c r="G7" s="617">
        <f>'GROUP Environment'!G7*'PLUS ES Emissions'!G$46</f>
        <v>2.6835101253616203</v>
      </c>
      <c r="H7" s="439">
        <f>'GROUP Environment'!H7*'PLUS ES Emissions'!H$46</f>
        <v>7.1818419333768784</v>
      </c>
      <c r="I7" s="439">
        <f>'GROUP Environment'!I7*'PLUS ES Emissions'!I$46</f>
        <v>7.3713114754098363</v>
      </c>
      <c r="J7" s="439">
        <f>'GROUP Environment'!J7*'PLUS ES Emissions'!J$46</f>
        <v>10.095238095238095</v>
      </c>
      <c r="K7" s="439">
        <f>'GROUP Environment'!K7*'PLUS ES Emissions'!K$46</f>
        <v>7.4463044851547693</v>
      </c>
      <c r="L7" s="439">
        <f>'GROUP Environment'!L7*'PLUS ES Emissions'!L$46</f>
        <v>6.292533999444907</v>
      </c>
      <c r="M7" s="439">
        <f>'GROUP Environment'!M7*'PLUS ES Emissions'!M$46</f>
        <v>8.9806108897742369</v>
      </c>
      <c r="N7" s="69"/>
    </row>
    <row r="8" spans="2:14" ht="26.85" customHeight="1" x14ac:dyDescent="0.25">
      <c r="B8" s="357" t="s">
        <v>263</v>
      </c>
      <c r="C8" s="357"/>
      <c r="D8" s="251" t="s">
        <v>260</v>
      </c>
      <c r="E8" s="251"/>
      <c r="F8" s="821">
        <f>'GROUP Environment'!F8*'PLUS ES Emissions'!F$46</f>
        <v>1.6006255777729936</v>
      </c>
      <c r="G8" s="617">
        <f>'GROUP Environment'!G8*'PLUS ES Emissions'!G$46</f>
        <v>1.5434522661523626</v>
      </c>
      <c r="H8" s="439">
        <f>'GROUP Environment'!H8*'PLUS ES Emissions'!H$46</f>
        <v>3.0581841933376883</v>
      </c>
      <c r="I8" s="439">
        <f>'GROUP Environment'!I8*'PLUS ES Emissions'!I$46</f>
        <v>1.9418032786885244</v>
      </c>
      <c r="J8" s="439">
        <f>'GROUP Environment'!J8*'PLUS ES Emissions'!J$46</f>
        <v>2.3753501400560224</v>
      </c>
      <c r="K8" s="439">
        <f>'GROUP Environment'!K8*'PLUS ES Emissions'!K$46</f>
        <v>2.3973468098547062</v>
      </c>
      <c r="L8" s="439">
        <f>'GROUP Environment'!L8*'PLUS ES Emissions'!L$46</f>
        <v>2.571468220927005</v>
      </c>
      <c r="M8" s="439">
        <f>'GROUP Environment'!M8*'PLUS ES Emissions'!M$46</f>
        <v>6.3367861885790173</v>
      </c>
      <c r="N8" s="69"/>
    </row>
    <row r="9" spans="2:14" ht="26.85" customHeight="1" x14ac:dyDescent="0.25">
      <c r="B9" s="235" t="s">
        <v>264</v>
      </c>
      <c r="C9" s="235"/>
      <c r="D9" s="251"/>
      <c r="E9" s="251"/>
      <c r="F9" s="236"/>
      <c r="G9" s="433"/>
      <c r="H9" s="439"/>
      <c r="I9" s="244"/>
      <c r="J9" s="199"/>
      <c r="K9" s="434"/>
      <c r="L9" s="434"/>
      <c r="M9" s="434"/>
      <c r="N9" s="69"/>
    </row>
    <row r="10" spans="2:14" ht="26.85" customHeight="1" x14ac:dyDescent="0.25">
      <c r="B10" s="357" t="s">
        <v>324</v>
      </c>
      <c r="C10" s="357"/>
      <c r="D10" s="251" t="s">
        <v>31</v>
      </c>
      <c r="E10" s="251"/>
      <c r="F10" s="602">
        <f>'GROUP Environment'!F10</f>
        <v>0.124</v>
      </c>
      <c r="G10" s="829">
        <f>'GROUP Environment'!G10</f>
        <v>0.17799999999999999</v>
      </c>
      <c r="H10" s="241">
        <v>0.19</v>
      </c>
      <c r="I10" s="241">
        <v>0.22</v>
      </c>
      <c r="J10" s="197" t="s">
        <v>23</v>
      </c>
      <c r="K10" s="197" t="s">
        <v>23</v>
      </c>
      <c r="L10" s="197" t="s">
        <v>23</v>
      </c>
      <c r="M10" s="197" t="s">
        <v>23</v>
      </c>
      <c r="N10" s="129"/>
    </row>
    <row r="11" spans="2:14" ht="26.85" customHeight="1" x14ac:dyDescent="0.25">
      <c r="B11" s="357" t="s">
        <v>325</v>
      </c>
      <c r="C11" s="357"/>
      <c r="D11" s="251" t="s">
        <v>31</v>
      </c>
      <c r="E11" s="251"/>
      <c r="F11" s="602">
        <f>'GROUP Environment'!F11</f>
        <v>0.222</v>
      </c>
      <c r="G11" s="829">
        <f>'GROUP Environment'!G11</f>
        <v>0.25900000000000001</v>
      </c>
      <c r="H11" s="241">
        <v>0.22</v>
      </c>
      <c r="I11" s="241">
        <v>0.27</v>
      </c>
      <c r="J11" s="197" t="s">
        <v>23</v>
      </c>
      <c r="K11" s="197" t="s">
        <v>23</v>
      </c>
      <c r="L11" s="197" t="s">
        <v>23</v>
      </c>
      <c r="M11" s="197" t="s">
        <v>23</v>
      </c>
      <c r="N11" s="129"/>
    </row>
    <row r="12" spans="2:14" ht="26.85" customHeight="1" x14ac:dyDescent="0.25">
      <c r="B12" s="627" t="s">
        <v>326</v>
      </c>
      <c r="C12" s="625"/>
      <c r="D12" s="98"/>
      <c r="E12" s="98"/>
      <c r="F12" s="98"/>
      <c r="G12" s="830"/>
      <c r="H12" s="626"/>
      <c r="I12" s="626"/>
      <c r="J12" s="22"/>
      <c r="K12" s="22"/>
      <c r="L12" s="22"/>
      <c r="M12" s="22"/>
      <c r="N12" s="129"/>
    </row>
    <row r="13" spans="2:14" ht="50.1" customHeight="1" x14ac:dyDescent="0.2">
      <c r="B13" s="112"/>
      <c r="C13" s="112"/>
      <c r="D13" s="17"/>
      <c r="E13" s="17"/>
      <c r="F13" s="17"/>
      <c r="G13" s="20"/>
      <c r="H13" s="152"/>
      <c r="I13" s="20"/>
      <c r="J13" s="20"/>
      <c r="K13" s="20"/>
      <c r="L13" s="55"/>
      <c r="M13" s="20"/>
      <c r="N13" s="153"/>
    </row>
    <row r="14" spans="2:14" ht="26.85" customHeight="1" x14ac:dyDescent="0.2">
      <c r="B14" s="6" t="s">
        <v>316</v>
      </c>
      <c r="C14" s="6"/>
      <c r="D14" s="7" t="s">
        <v>9</v>
      </c>
      <c r="E14" s="7"/>
      <c r="F14" s="8" t="s">
        <v>10</v>
      </c>
      <c r="G14" s="9" t="s">
        <v>11</v>
      </c>
      <c r="H14" s="154" t="s">
        <v>12</v>
      </c>
      <c r="I14" s="9" t="s">
        <v>13</v>
      </c>
      <c r="J14" s="9" t="s">
        <v>14</v>
      </c>
      <c r="K14" s="9" t="s">
        <v>15</v>
      </c>
      <c r="L14" s="9" t="s">
        <v>16</v>
      </c>
      <c r="M14" s="9" t="s">
        <v>17</v>
      </c>
      <c r="N14" s="81"/>
    </row>
    <row r="15" spans="2:14" ht="26.85" customHeight="1" x14ac:dyDescent="0.25">
      <c r="B15" s="234" t="s">
        <v>273</v>
      </c>
      <c r="C15" s="234"/>
      <c r="D15" s="238"/>
      <c r="E15" s="238"/>
      <c r="F15" s="820"/>
      <c r="G15" s="433"/>
      <c r="H15" s="439"/>
      <c r="I15" s="244"/>
      <c r="J15" s="199"/>
      <c r="K15" s="244"/>
      <c r="L15" s="244"/>
      <c r="M15" s="244"/>
      <c r="N15" s="69"/>
    </row>
    <row r="16" spans="2:14" ht="26.85" customHeight="1" x14ac:dyDescent="0.25">
      <c r="B16" s="357" t="s">
        <v>274</v>
      </c>
      <c r="C16" s="357"/>
      <c r="D16" s="251" t="s">
        <v>262</v>
      </c>
      <c r="E16" s="251"/>
      <c r="F16" s="794">
        <f>'GROUP Environment'!F17*'PLUS ES Emissions'!F46</f>
        <v>2298.865158863829</v>
      </c>
      <c r="G16" s="620">
        <f>'GROUP Environment'!G17*'PLUS ES Emissions'!G46</f>
        <v>1907.7338476374157</v>
      </c>
      <c r="H16" s="192">
        <f>'GROUP Environment'!H17*'PLUS ES Emissions'!H46</f>
        <v>1750.7119529719139</v>
      </c>
      <c r="I16" s="192">
        <f>'GROUP Environment'!I17*'PLUS ES Emissions'!I46</f>
        <v>1709.0696721311476</v>
      </c>
      <c r="J16" s="192">
        <f>'GROUP Environment'!J17*'PLUS ES Emissions'!J46</f>
        <v>2067.8165266106444</v>
      </c>
      <c r="K16" s="192">
        <f>'GROUP Environment'!K17*'PLUS ES Emissions'!K46</f>
        <v>6313.0859128237516</v>
      </c>
      <c r="L16" s="192">
        <f>'GROUP Environment'!L17*'PLUS ES Emissions'!L46</f>
        <v>5879.2234249236744</v>
      </c>
      <c r="M16" s="192">
        <f>'GROUP Environment'!M17*'PLUS ES Emissions'!M46</f>
        <v>4346.909428950863</v>
      </c>
      <c r="N16" s="96"/>
    </row>
    <row r="17" spans="2:14" ht="26.45" customHeight="1" x14ac:dyDescent="0.25">
      <c r="B17" s="235" t="s">
        <v>275</v>
      </c>
      <c r="C17" s="235"/>
      <c r="D17" s="251"/>
      <c r="E17" s="251"/>
      <c r="F17" s="820"/>
      <c r="G17" s="620"/>
      <c r="H17" s="192"/>
      <c r="I17" s="192"/>
      <c r="J17" s="192"/>
      <c r="K17" s="192"/>
      <c r="L17" s="192"/>
      <c r="M17" s="192"/>
      <c r="N17" s="672"/>
    </row>
    <row r="18" spans="2:14" ht="26.1" customHeight="1" x14ac:dyDescent="0.25">
      <c r="B18" s="357" t="s">
        <v>319</v>
      </c>
      <c r="C18" s="357"/>
      <c r="D18" s="251" t="s">
        <v>262</v>
      </c>
      <c r="E18" s="251"/>
      <c r="F18" s="794">
        <f>'GROUP Environment'!F19*'PLUS ES Emissions'!F46</f>
        <v>4.0659199412412779</v>
      </c>
      <c r="G18" s="620">
        <f>'GROUP Environment'!G19*'PLUS ES Emissions'!G46</f>
        <v>2.025072324011572</v>
      </c>
      <c r="H18" s="192">
        <f>'GROUP Environment'!H19*'PLUS ES Emissions'!H46</f>
        <v>2.547354670150229</v>
      </c>
      <c r="I18" s="192">
        <f>'GROUP Environment'!I19*'PLUS ES Emissions'!I46</f>
        <v>2.3565573770491803</v>
      </c>
      <c r="J18" s="192">
        <f>'GROUP Environment'!J19*'PLUS ES Emissions'!J46</f>
        <v>2.7836134453781511</v>
      </c>
      <c r="K18" s="192">
        <f>'GROUP Environment'!K19*'PLUS ES Emissions'!K46</f>
        <v>2.5880448515476941</v>
      </c>
      <c r="L18" s="192">
        <f>'GROUP Environment'!L19*'PLUS ES Emissions'!L46</f>
        <v>1.4521232306411322</v>
      </c>
      <c r="M18" s="192">
        <f>'GROUP Environment'!M19*'PLUS ES Emissions'!M46</f>
        <v>2.0143426294820719</v>
      </c>
      <c r="N18" s="673"/>
    </row>
    <row r="19" spans="2:14" ht="26.85" customHeight="1" x14ac:dyDescent="0.2">
      <c r="B19" s="996" t="s">
        <v>327</v>
      </c>
      <c r="C19" s="996"/>
      <c r="D19" s="996"/>
      <c r="E19" s="996"/>
      <c r="F19" s="996"/>
      <c r="G19" s="996"/>
      <c r="H19" s="996"/>
      <c r="I19" s="996"/>
      <c r="J19" s="672"/>
      <c r="K19" s="672"/>
      <c r="L19" s="672"/>
      <c r="M19" s="672"/>
      <c r="N19" s="673"/>
    </row>
    <row r="20" spans="2:14" ht="50.1" customHeight="1" x14ac:dyDescent="0.2">
      <c r="B20" s="17"/>
      <c r="C20" s="31"/>
      <c r="D20" s="17"/>
      <c r="E20" s="17"/>
      <c r="F20" s="17"/>
      <c r="G20" s="619"/>
      <c r="H20" s="20"/>
      <c r="I20" s="20"/>
      <c r="J20" s="20"/>
      <c r="K20" s="20"/>
      <c r="L20" s="55"/>
      <c r="M20" s="20"/>
      <c r="N20" s="113"/>
    </row>
    <row r="21" spans="2:14" ht="26.85" customHeight="1" x14ac:dyDescent="0.2">
      <c r="B21" s="6" t="s">
        <v>328</v>
      </c>
      <c r="C21" s="6"/>
      <c r="D21" s="7" t="s">
        <v>9</v>
      </c>
      <c r="E21" s="7"/>
      <c r="F21" s="8" t="s">
        <v>10</v>
      </c>
      <c r="G21" s="9" t="s">
        <v>11</v>
      </c>
      <c r="H21" s="9" t="s">
        <v>12</v>
      </c>
      <c r="I21" s="9" t="s">
        <v>13</v>
      </c>
      <c r="J21" s="9" t="s">
        <v>14</v>
      </c>
      <c r="K21" s="9" t="s">
        <v>15</v>
      </c>
      <c r="L21" s="9" t="s">
        <v>16</v>
      </c>
      <c r="M21" s="9" t="s">
        <v>17</v>
      </c>
      <c r="N21" s="81"/>
    </row>
    <row r="22" spans="2:14" ht="26.85" customHeight="1" x14ac:dyDescent="0.25">
      <c r="B22" s="251" t="s">
        <v>329</v>
      </c>
      <c r="C22" s="251"/>
      <c r="D22" s="251" t="s">
        <v>31</v>
      </c>
      <c r="E22" s="251"/>
      <c r="F22" s="810">
        <v>1</v>
      </c>
      <c r="G22" s="824">
        <v>1</v>
      </c>
      <c r="H22" s="241">
        <v>1</v>
      </c>
      <c r="I22" s="435">
        <v>1</v>
      </c>
      <c r="J22" s="424">
        <v>1</v>
      </c>
      <c r="K22" s="440">
        <v>1</v>
      </c>
      <c r="L22" s="440">
        <v>1</v>
      </c>
      <c r="M22" s="440">
        <v>1</v>
      </c>
      <c r="N22" s="147"/>
    </row>
    <row r="23" spans="2:14" ht="50.1" customHeight="1" x14ac:dyDescent="0.2">
      <c r="B23" s="155"/>
      <c r="C23" s="155"/>
      <c r="D23" s="98"/>
      <c r="E23" s="98"/>
      <c r="F23" s="98"/>
      <c r="G23" s="119"/>
      <c r="H23" s="997"/>
      <c r="I23" s="997"/>
      <c r="J23" s="997"/>
      <c r="K23" s="119"/>
      <c r="L23" s="119"/>
      <c r="M23" s="119"/>
      <c r="N23" s="69"/>
    </row>
    <row r="24" spans="2:14" ht="26.85" customHeight="1" x14ac:dyDescent="0.2">
      <c r="B24" s="6" t="s">
        <v>292</v>
      </c>
      <c r="C24" s="6"/>
      <c r="D24" s="7" t="s">
        <v>9</v>
      </c>
      <c r="E24" s="7"/>
      <c r="F24" s="8" t="s">
        <v>10</v>
      </c>
      <c r="G24" s="9" t="s">
        <v>11</v>
      </c>
      <c r="H24" s="9" t="s">
        <v>12</v>
      </c>
      <c r="I24" s="9" t="s">
        <v>13</v>
      </c>
      <c r="J24" s="9" t="s">
        <v>14</v>
      </c>
      <c r="K24" s="9" t="s">
        <v>15</v>
      </c>
      <c r="L24" s="9" t="s">
        <v>16</v>
      </c>
      <c r="M24" s="9" t="s">
        <v>17</v>
      </c>
      <c r="N24" s="81"/>
    </row>
    <row r="25" spans="2:14" ht="26.85" customHeight="1" x14ac:dyDescent="0.25">
      <c r="B25" s="231" t="s">
        <v>293</v>
      </c>
      <c r="C25" s="195"/>
      <c r="D25" s="193"/>
      <c r="E25" s="193"/>
      <c r="F25" s="822"/>
      <c r="G25" s="433"/>
      <c r="H25" s="244"/>
      <c r="I25" s="244"/>
      <c r="J25" s="244"/>
      <c r="K25" s="244"/>
      <c r="L25" s="244"/>
      <c r="M25" s="244"/>
      <c r="N25" s="69"/>
    </row>
    <row r="26" spans="2:14" ht="26.85" customHeight="1" x14ac:dyDescent="0.25">
      <c r="B26" s="350" t="s">
        <v>294</v>
      </c>
      <c r="C26" s="354"/>
      <c r="D26" s="194" t="s">
        <v>295</v>
      </c>
      <c r="E26" s="194"/>
      <c r="F26" s="794">
        <v>0</v>
      </c>
      <c r="G26" s="620">
        <v>0</v>
      </c>
      <c r="H26" s="197">
        <v>0</v>
      </c>
      <c r="I26" s="197">
        <v>0</v>
      </c>
      <c r="J26" s="197">
        <v>0</v>
      </c>
      <c r="K26" s="197">
        <v>0</v>
      </c>
      <c r="L26" s="197">
        <v>0</v>
      </c>
      <c r="M26" s="197">
        <v>0</v>
      </c>
      <c r="N26" s="69"/>
    </row>
    <row r="27" spans="2:14" ht="26.85" customHeight="1" x14ac:dyDescent="0.25">
      <c r="B27" s="563" t="s">
        <v>296</v>
      </c>
      <c r="C27" s="351"/>
      <c r="D27" s="251" t="s">
        <v>25</v>
      </c>
      <c r="E27" s="194"/>
      <c r="F27" s="794">
        <v>0</v>
      </c>
      <c r="G27" s="620">
        <v>0</v>
      </c>
      <c r="H27" s="197">
        <v>0</v>
      </c>
      <c r="I27" s="197">
        <v>0</v>
      </c>
      <c r="J27" s="197">
        <v>0</v>
      </c>
      <c r="K27" s="197">
        <v>0</v>
      </c>
      <c r="L27" s="197">
        <v>0</v>
      </c>
      <c r="M27" s="197">
        <v>0</v>
      </c>
      <c r="N27" s="69"/>
    </row>
    <row r="28" spans="2:14" ht="26.85" customHeight="1" x14ac:dyDescent="0.25">
      <c r="B28" s="345" t="s">
        <v>297</v>
      </c>
      <c r="C28" s="344"/>
      <c r="D28" s="251" t="s">
        <v>25</v>
      </c>
      <c r="E28" s="194"/>
      <c r="F28" s="794">
        <v>0</v>
      </c>
      <c r="G28" s="620">
        <v>0</v>
      </c>
      <c r="H28" s="197">
        <v>0</v>
      </c>
      <c r="I28" s="197">
        <v>0</v>
      </c>
      <c r="J28" s="197">
        <v>0</v>
      </c>
      <c r="K28" s="197">
        <v>0</v>
      </c>
      <c r="L28" s="197">
        <v>0</v>
      </c>
      <c r="M28" s="197">
        <v>0</v>
      </c>
      <c r="N28" s="69"/>
    </row>
    <row r="29" spans="2:14" ht="26.85" customHeight="1" x14ac:dyDescent="0.25">
      <c r="B29" s="231" t="s">
        <v>298</v>
      </c>
      <c r="C29" s="195"/>
      <c r="D29" s="251"/>
      <c r="E29" s="194"/>
      <c r="F29" s="233"/>
      <c r="G29" s="433"/>
      <c r="H29" s="244"/>
      <c r="I29" s="244"/>
      <c r="J29" s="244"/>
      <c r="K29" s="244"/>
      <c r="L29" s="244"/>
      <c r="M29" s="244"/>
      <c r="N29" s="69"/>
    </row>
    <row r="30" spans="2:14" ht="26.85" customHeight="1" x14ac:dyDescent="0.25">
      <c r="B30" s="563" t="s">
        <v>299</v>
      </c>
      <c r="C30" s="351"/>
      <c r="D30" s="251" t="s">
        <v>25</v>
      </c>
      <c r="E30" s="194"/>
      <c r="F30" s="794">
        <v>0</v>
      </c>
      <c r="G30" s="620">
        <v>0</v>
      </c>
      <c r="H30" s="197">
        <v>0</v>
      </c>
      <c r="I30" s="197">
        <v>0</v>
      </c>
      <c r="J30" s="197">
        <v>0</v>
      </c>
      <c r="K30" s="197">
        <v>0</v>
      </c>
      <c r="L30" s="197">
        <v>0</v>
      </c>
      <c r="M30" s="197">
        <v>0</v>
      </c>
      <c r="N30" s="69"/>
    </row>
    <row r="31" spans="2:14" ht="26.85" customHeight="1" x14ac:dyDescent="0.25">
      <c r="B31" s="345" t="s">
        <v>300</v>
      </c>
      <c r="C31" s="344"/>
      <c r="D31" s="251" t="s">
        <v>25</v>
      </c>
      <c r="E31" s="194"/>
      <c r="F31" s="794">
        <v>0</v>
      </c>
      <c r="G31" s="620">
        <v>0</v>
      </c>
      <c r="H31" s="197">
        <v>0</v>
      </c>
      <c r="I31" s="197">
        <v>0</v>
      </c>
      <c r="J31" s="197">
        <v>0</v>
      </c>
      <c r="K31" s="197">
        <v>0</v>
      </c>
      <c r="L31" s="197">
        <v>0</v>
      </c>
      <c r="M31" s="197">
        <v>0</v>
      </c>
      <c r="N31" s="69"/>
    </row>
    <row r="32" spans="2:14" ht="50.1" customHeight="1" x14ac:dyDescent="0.2">
      <c r="B32" s="47"/>
      <c r="C32" s="47"/>
      <c r="D32" s="18"/>
      <c r="E32" s="18"/>
      <c r="F32" s="18"/>
      <c r="G32" s="151"/>
      <c r="H32" s="151"/>
      <c r="I32" s="151"/>
      <c r="J32" s="151"/>
      <c r="K32" s="151"/>
      <c r="L32" s="151"/>
      <c r="M32" s="151"/>
      <c r="N32" s="69"/>
    </row>
    <row r="33" spans="2:14" ht="26.85" customHeight="1" x14ac:dyDescent="0.2">
      <c r="B33" s="6" t="s">
        <v>303</v>
      </c>
      <c r="C33" s="6"/>
      <c r="D33" s="7" t="s">
        <v>9</v>
      </c>
      <c r="E33" s="7"/>
      <c r="F33" s="8" t="s">
        <v>10</v>
      </c>
      <c r="G33" s="9" t="s">
        <v>11</v>
      </c>
      <c r="H33" s="9" t="s">
        <v>12</v>
      </c>
      <c r="I33" s="9" t="s">
        <v>13</v>
      </c>
      <c r="J33" s="9" t="s">
        <v>14</v>
      </c>
      <c r="K33" s="9" t="s">
        <v>15</v>
      </c>
      <c r="L33" s="9" t="s">
        <v>16</v>
      </c>
      <c r="M33" s="9" t="s">
        <v>17</v>
      </c>
      <c r="N33" s="81"/>
    </row>
    <row r="34" spans="2:14" ht="26.85" customHeight="1" x14ac:dyDescent="0.25">
      <c r="B34" s="235" t="s">
        <v>304</v>
      </c>
      <c r="C34" s="235"/>
      <c r="D34" s="251"/>
      <c r="E34" s="251"/>
      <c r="F34" s="820"/>
      <c r="G34" s="433"/>
      <c r="H34" s="402"/>
      <c r="I34" s="244"/>
      <c r="J34" s="199"/>
      <c r="K34" s="434"/>
      <c r="L34" s="434"/>
      <c r="M34" s="434"/>
      <c r="N34" s="150"/>
    </row>
    <row r="35" spans="2:14" ht="26.85" customHeight="1" x14ac:dyDescent="0.25">
      <c r="B35" s="357" t="s">
        <v>305</v>
      </c>
      <c r="C35" s="357"/>
      <c r="D35" s="251" t="s">
        <v>25</v>
      </c>
      <c r="E35" s="194"/>
      <c r="F35" s="794">
        <v>0</v>
      </c>
      <c r="G35" s="620">
        <v>0</v>
      </c>
      <c r="H35" s="259">
        <v>0</v>
      </c>
      <c r="I35" s="244">
        <v>0</v>
      </c>
      <c r="J35" s="199">
        <v>0</v>
      </c>
      <c r="K35" s="434">
        <v>0</v>
      </c>
      <c r="L35" s="434">
        <v>0</v>
      </c>
      <c r="M35" s="434">
        <v>0</v>
      </c>
      <c r="N35" s="69"/>
    </row>
    <row r="36" spans="2:14" ht="26.85" customHeight="1" x14ac:dyDescent="0.25">
      <c r="B36" s="235" t="s">
        <v>306</v>
      </c>
      <c r="C36" s="235"/>
      <c r="D36" s="251"/>
      <c r="E36" s="251"/>
      <c r="F36" s="233"/>
      <c r="G36" s="433"/>
      <c r="H36" s="259"/>
      <c r="I36" s="244"/>
      <c r="J36" s="199"/>
      <c r="K36" s="434"/>
      <c r="L36" s="434"/>
      <c r="M36" s="434"/>
      <c r="N36" s="69"/>
    </row>
    <row r="37" spans="2:14" ht="26.85" customHeight="1" x14ac:dyDescent="0.25">
      <c r="B37" s="357" t="s">
        <v>307</v>
      </c>
      <c r="C37" s="357"/>
      <c r="D37" s="251" t="s">
        <v>25</v>
      </c>
      <c r="E37" s="194"/>
      <c r="F37" s="794">
        <v>0</v>
      </c>
      <c r="G37" s="620">
        <v>0</v>
      </c>
      <c r="H37" s="259">
        <v>0</v>
      </c>
      <c r="I37" s="244">
        <v>0</v>
      </c>
      <c r="J37" s="199">
        <v>0</v>
      </c>
      <c r="K37" s="434">
        <v>0</v>
      </c>
      <c r="L37" s="434">
        <v>0</v>
      </c>
      <c r="M37" s="434">
        <v>0</v>
      </c>
      <c r="N37" s="69"/>
    </row>
    <row r="38" spans="2:14" ht="26.85" customHeight="1" x14ac:dyDescent="0.25">
      <c r="B38" s="358" t="s">
        <v>308</v>
      </c>
      <c r="C38" s="357"/>
      <c r="D38" s="251" t="s">
        <v>25</v>
      </c>
      <c r="E38" s="194"/>
      <c r="F38" s="794">
        <v>0</v>
      </c>
      <c r="G38" s="620">
        <v>0</v>
      </c>
      <c r="H38" s="259">
        <v>0</v>
      </c>
      <c r="I38" s="244">
        <v>0</v>
      </c>
      <c r="J38" s="199">
        <v>0</v>
      </c>
      <c r="K38" s="434">
        <v>0</v>
      </c>
      <c r="L38" s="434">
        <v>0</v>
      </c>
      <c r="M38" s="434">
        <v>0</v>
      </c>
      <c r="N38" s="69"/>
    </row>
    <row r="39" spans="2:14" ht="26.85" customHeight="1" x14ac:dyDescent="0.25">
      <c r="B39" s="357" t="s">
        <v>309</v>
      </c>
      <c r="C39" s="357"/>
      <c r="D39" s="251" t="s">
        <v>25</v>
      </c>
      <c r="E39" s="194"/>
      <c r="F39" s="794">
        <v>0</v>
      </c>
      <c r="G39" s="620">
        <v>0</v>
      </c>
      <c r="H39" s="259">
        <v>0</v>
      </c>
      <c r="I39" s="244">
        <v>0</v>
      </c>
      <c r="J39" s="199">
        <v>0</v>
      </c>
      <c r="K39" s="434">
        <v>0</v>
      </c>
      <c r="L39" s="434">
        <v>0</v>
      </c>
      <c r="M39" s="434">
        <v>0</v>
      </c>
      <c r="N39" s="69"/>
    </row>
    <row r="40" spans="2:14" ht="26.85" customHeight="1" x14ac:dyDescent="0.25">
      <c r="B40" s="345" t="s">
        <v>310</v>
      </c>
      <c r="C40" s="344"/>
      <c r="D40" s="251" t="s">
        <v>25</v>
      </c>
      <c r="E40" s="194"/>
      <c r="F40" s="794">
        <v>1</v>
      </c>
      <c r="G40" s="620">
        <v>0</v>
      </c>
      <c r="H40" s="259">
        <v>1</v>
      </c>
      <c r="I40" s="244">
        <v>1</v>
      </c>
      <c r="J40" s="199">
        <v>0</v>
      </c>
      <c r="K40" s="434">
        <v>1</v>
      </c>
      <c r="L40" s="434">
        <v>0</v>
      </c>
      <c r="M40" s="434">
        <v>0</v>
      </c>
      <c r="N40" s="69"/>
    </row>
    <row r="41" spans="2:14" ht="26.85" customHeight="1" x14ac:dyDescent="0.2">
      <c r="B41" s="998"/>
      <c r="C41" s="998"/>
      <c r="D41" s="915"/>
      <c r="E41" s="915"/>
      <c r="F41" s="915"/>
      <c r="G41" s="915"/>
      <c r="H41" s="915"/>
      <c r="I41" s="915"/>
      <c r="J41" s="915"/>
      <c r="K41" s="915"/>
      <c r="L41" s="915"/>
      <c r="M41" s="915"/>
      <c r="N41" s="915"/>
    </row>
    <row r="42" spans="2:14" x14ac:dyDescent="0.2">
      <c r="B42" s="156"/>
      <c r="C42" s="156"/>
      <c r="D42" s="98"/>
      <c r="E42" s="98"/>
      <c r="F42" s="98"/>
      <c r="G42" s="71"/>
      <c r="H42" s="119"/>
      <c r="I42" s="119"/>
      <c r="J42" s="119"/>
      <c r="K42" s="119"/>
      <c r="L42" s="119"/>
      <c r="M42" s="119"/>
      <c r="N42" s="69"/>
    </row>
    <row r="43" spans="2:14" x14ac:dyDescent="0.2">
      <c r="D43" s="68"/>
      <c r="E43" s="68"/>
      <c r="F43" s="68"/>
      <c r="H43" s="68"/>
      <c r="I43" s="68"/>
      <c r="J43" s="68"/>
      <c r="K43" s="68"/>
      <c r="L43" s="68"/>
      <c r="M43" s="68"/>
      <c r="N43" s="68"/>
    </row>
    <row r="44" spans="2:14" x14ac:dyDescent="0.2">
      <c r="D44" s="68"/>
      <c r="E44" s="68"/>
      <c r="F44" s="68"/>
      <c r="H44" s="68"/>
      <c r="I44" s="68"/>
      <c r="J44" s="68"/>
      <c r="K44" s="68"/>
      <c r="L44" s="68"/>
      <c r="M44" s="68"/>
      <c r="N44" s="68"/>
    </row>
    <row r="45" spans="2:14" x14ac:dyDescent="0.2">
      <c r="D45" s="68"/>
      <c r="E45" s="68"/>
      <c r="F45" s="68"/>
      <c r="H45" s="68"/>
      <c r="I45" s="68"/>
      <c r="J45" s="68"/>
      <c r="K45" s="68"/>
      <c r="L45" s="68"/>
      <c r="M45" s="68"/>
      <c r="N45" s="68"/>
    </row>
    <row r="46" spans="2:14" x14ac:dyDescent="0.2">
      <c r="D46" s="68"/>
      <c r="E46" s="68"/>
      <c r="F46" s="68"/>
      <c r="H46" s="68"/>
      <c r="I46" s="68"/>
      <c r="J46" s="68"/>
      <c r="K46" s="68"/>
      <c r="L46" s="68"/>
      <c r="M46" s="68"/>
      <c r="N46" s="68"/>
    </row>
    <row r="47" spans="2:14" x14ac:dyDescent="0.2">
      <c r="D47" s="68"/>
      <c r="E47" s="68"/>
      <c r="F47" s="68"/>
      <c r="H47" s="68"/>
      <c r="I47" s="68"/>
      <c r="J47" s="68"/>
      <c r="K47" s="68"/>
      <c r="L47" s="68"/>
      <c r="M47" s="68"/>
      <c r="N47" s="68"/>
    </row>
    <row r="48" spans="2:14" x14ac:dyDescent="0.2">
      <c r="D48" s="68"/>
      <c r="E48" s="68"/>
      <c r="F48" s="68"/>
      <c r="H48" s="68"/>
      <c r="I48" s="68"/>
      <c r="J48" s="68"/>
      <c r="K48" s="68"/>
      <c r="L48" s="68"/>
      <c r="M48" s="68"/>
      <c r="N48" s="68"/>
    </row>
  </sheetData>
  <sheetProtection algorithmName="SHA-512" hashValue="f783RtECJX6WPvbMIMiXvtGOD25RWpEyfrfy2A18reV5AMNEXzAmhmWqmFxpAzus5KckjaAT1Zl5dkY9gCJPeg==" saltValue="fbV25Guh70i/t/wmONhPvw==" spinCount="100000" sheet="1" objects="1" scenarios="1"/>
  <protectedRanges>
    <protectedRange algorithmName="SHA-512" hashValue="SBmVKL1PmbJO4BEGzBE2xSftKq5NiG1q1emuti/GVfceCNi5g6XOmQ1IMu3DBdkx1ZhRvUtbpcPo4ef6OYQSig==" saltValue="08oHF2zO3UoJG6Nlb1OgOA==" spinCount="100000" sqref="I24:J24" name="FY20_3_2_2"/>
    <protectedRange algorithmName="SHA-512" hashValue="SBmVKL1PmbJO4BEGzBE2xSftKq5NiG1q1emuti/GVfceCNi5g6XOmQ1IMu3DBdkx1ZhRvUtbpcPo4ef6OYQSig==" saltValue="08oHF2zO3UoJG6Nlb1OgOA==" spinCount="100000" sqref="F6:M8" name="FY20_3_2_1_1"/>
    <protectedRange algorithmName="SHA-512" hashValue="SBmVKL1PmbJO4BEGzBE2xSftKq5NiG1q1emuti/GVfceCNi5g6XOmQ1IMu3DBdkx1ZhRvUtbpcPo4ef6OYQSig==" saltValue="08oHF2zO3UoJG6Nlb1OgOA==" spinCount="100000" sqref="G10:G12" name="FY20_3_2_1_2"/>
    <protectedRange algorithmName="SHA-512" hashValue="SBmVKL1PmbJO4BEGzBE2xSftKq5NiG1q1emuti/GVfceCNi5g6XOmQ1IMu3DBdkx1ZhRvUtbpcPo4ef6OYQSig==" saltValue="08oHF2zO3UoJG6Nlb1OgOA==" spinCount="100000" sqref="F22:G22" name="FY20_3_2_1_9"/>
    <protectedRange algorithmName="SHA-512" hashValue="SBmVKL1PmbJO4BEGzBE2xSftKq5NiG1q1emuti/GVfceCNi5g6XOmQ1IMu3DBdkx1ZhRvUtbpcPo4ef6OYQSig==" saltValue="08oHF2zO3UoJG6Nlb1OgOA==" spinCount="100000" sqref="F26:G26" name="FY20_3_2_1_10"/>
    <protectedRange algorithmName="SHA-512" hashValue="SBmVKL1PmbJO4BEGzBE2xSftKq5NiG1q1emuti/GVfceCNi5g6XOmQ1IMu3DBdkx1ZhRvUtbpcPo4ef6OYQSig==" saltValue="08oHF2zO3UoJG6Nlb1OgOA==" spinCount="100000" sqref="F27:G28" name="FY20_3_2_1_12"/>
    <protectedRange algorithmName="SHA-512" hashValue="SBmVKL1PmbJO4BEGzBE2xSftKq5NiG1q1emuti/GVfceCNi5g6XOmQ1IMu3DBdkx1ZhRvUtbpcPo4ef6OYQSig==" saltValue="08oHF2zO3UoJG6Nlb1OgOA==" spinCount="100000" sqref="F30:G31" name="FY20_3_2_1_13"/>
    <protectedRange algorithmName="SHA-512" hashValue="SBmVKL1PmbJO4BEGzBE2xSftKq5NiG1q1emuti/GVfceCNi5g6XOmQ1IMu3DBdkx1ZhRvUtbpcPo4ef6OYQSig==" saltValue="08oHF2zO3UoJG6Nlb1OgOA==" spinCount="100000" sqref="F35:G35" name="FY20_3_2_1_14"/>
    <protectedRange algorithmName="SHA-512" hashValue="SBmVKL1PmbJO4BEGzBE2xSftKq5NiG1q1emuti/GVfceCNi5g6XOmQ1IMu3DBdkx1ZhRvUtbpcPo4ef6OYQSig==" saltValue="08oHF2zO3UoJG6Nlb1OgOA==" spinCount="100000" sqref="F37:G40" name="FY20_3_2_1_15"/>
    <protectedRange algorithmName="SHA-512" hashValue="SBmVKL1PmbJO4BEGzBE2xSftKq5NiG1q1emuti/GVfceCNi5g6XOmQ1IMu3DBdkx1ZhRvUtbpcPo4ef6OYQSig==" saltValue="08oHF2zO3UoJG6Nlb1OgOA==" spinCount="100000" sqref="G16:G19 H18:M19 F16 F18" name="FY20_3_2_1_4"/>
    <protectedRange algorithmName="SHA-512" hashValue="SBmVKL1PmbJO4BEGzBE2xSftKq5NiG1q1emuti/GVfceCNi5g6XOmQ1IMu3DBdkx1ZhRvUtbpcPo4ef6OYQSig==" saltValue="08oHF2zO3UoJG6Nlb1OgOA==" spinCount="100000" sqref="K17" name="FY20_1_2_3"/>
    <protectedRange algorithmName="SHA-512" hashValue="SBmVKL1PmbJO4BEGzBE2xSftKq5NiG1q1emuti/GVfceCNi5g6XOmQ1IMu3DBdkx1ZhRvUtbpcPo4ef6OYQSig==" saltValue="08oHF2zO3UoJG6Nlb1OgOA==" spinCount="100000" sqref="I17:J17" name="FY20_3_2_4"/>
  </protectedRanges>
  <mergeCells count="3">
    <mergeCell ref="B19:I19"/>
    <mergeCell ref="H23:J23"/>
    <mergeCell ref="B41:N41"/>
  </mergeCells>
  <pageMargins left="0.7" right="0.7" top="0.75" bottom="0.75" header="0.3" footer="0.3"/>
  <pageSetup paperSize="9" scale="30" orientation="portrait" r:id="rId1"/>
  <headerFooter>
    <oddFooter>&amp;L_x000D_&amp;1#&amp;"Calibri"&amp;8&amp;K000000 Unclassified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A5074-E3DB-481C-ADFD-4ED520DD3378}">
  <sheetPr codeName="Sheet10">
    <tabColor theme="9" tint="0.79998168889431442"/>
    <pageSetUpPr fitToPage="1"/>
  </sheetPr>
  <dimension ref="B1:N83"/>
  <sheetViews>
    <sheetView showGridLines="0" zoomScale="85" zoomScaleNormal="85" workbookViewId="0">
      <selection activeCell="I31" sqref="I31"/>
    </sheetView>
  </sheetViews>
  <sheetFormatPr defaultColWidth="8.5703125" defaultRowHeight="15" x14ac:dyDescent="0.2"/>
  <cols>
    <col min="1" max="1" width="4.42578125" style="37" customWidth="1"/>
    <col min="2" max="2" width="75.85546875" style="37" customWidth="1"/>
    <col min="3" max="3" width="20.5703125" style="37" customWidth="1"/>
    <col min="4" max="4" width="17.42578125" style="40" customWidth="1"/>
    <col min="5" max="5" width="15.42578125" style="40" customWidth="1"/>
    <col min="6" max="6" width="21.42578125" style="40" customWidth="1"/>
    <col min="7" max="11" width="21.5703125" style="68" customWidth="1"/>
    <col min="12" max="14" width="21.5703125" style="40" customWidth="1"/>
    <col min="15" max="16384" width="8.5703125" style="37"/>
  </cols>
  <sheetData>
    <row r="1" spans="2:14" ht="24.6" customHeight="1" x14ac:dyDescent="0.2"/>
    <row r="2" spans="2:14" ht="81" customHeight="1" x14ac:dyDescent="0.2">
      <c r="B2" s="682"/>
      <c r="C2" s="914" t="s">
        <v>330</v>
      </c>
      <c r="D2" s="914"/>
      <c r="E2" s="914"/>
      <c r="F2" s="686"/>
      <c r="G2" s="343"/>
      <c r="H2" s="277"/>
      <c r="I2" s="277"/>
      <c r="J2" s="277"/>
      <c r="K2" s="277"/>
      <c r="L2" s="277"/>
      <c r="M2" s="277"/>
      <c r="N2" s="277"/>
    </row>
    <row r="3" spans="2:14" ht="25.5" customHeight="1" x14ac:dyDescent="0.2">
      <c r="B3" s="77"/>
      <c r="C3" s="77"/>
      <c r="D3" s="13"/>
      <c r="E3" s="13"/>
      <c r="F3" s="13"/>
      <c r="G3" s="78"/>
      <c r="H3" s="78"/>
      <c r="I3" s="78"/>
      <c r="J3" s="78"/>
      <c r="K3" s="72"/>
      <c r="L3" s="13"/>
      <c r="M3" s="13"/>
      <c r="N3" s="13"/>
    </row>
    <row r="4" spans="2:14" ht="26.85" customHeight="1" x14ac:dyDescent="0.2">
      <c r="B4" s="6" t="s">
        <v>331</v>
      </c>
      <c r="C4" s="6"/>
      <c r="D4" s="7" t="s">
        <v>9</v>
      </c>
      <c r="E4" s="7"/>
      <c r="F4" s="8" t="s">
        <v>10</v>
      </c>
      <c r="G4" s="9" t="s">
        <v>11</v>
      </c>
      <c r="H4" s="9" t="s">
        <v>12</v>
      </c>
      <c r="I4" s="9" t="s">
        <v>13</v>
      </c>
      <c r="J4" s="9" t="s">
        <v>14</v>
      </c>
      <c r="K4" s="9" t="s">
        <v>15</v>
      </c>
      <c r="L4" s="9" t="s">
        <v>16</v>
      </c>
      <c r="M4" s="9" t="s">
        <v>17</v>
      </c>
      <c r="N4" s="9" t="s">
        <v>18</v>
      </c>
    </row>
    <row r="5" spans="2:14" ht="26.85" customHeight="1" x14ac:dyDescent="0.25">
      <c r="B5" s="231" t="s">
        <v>331</v>
      </c>
      <c r="C5" s="231"/>
      <c r="D5" s="193"/>
      <c r="E5" s="193"/>
      <c r="F5" s="822"/>
      <c r="G5" s="433"/>
      <c r="H5" s="199"/>
      <c r="I5" s="199"/>
      <c r="J5" s="199"/>
      <c r="K5" s="199"/>
      <c r="L5" s="199"/>
      <c r="M5" s="199"/>
      <c r="N5" s="199"/>
    </row>
    <row r="6" spans="2:14" ht="26.85" customHeight="1" x14ac:dyDescent="0.25">
      <c r="B6" s="345" t="s">
        <v>332</v>
      </c>
      <c r="C6" s="345"/>
      <c r="D6" s="193" t="s">
        <v>333</v>
      </c>
      <c r="E6" s="193"/>
      <c r="F6" s="809">
        <v>8423.6707101432912</v>
      </c>
      <c r="G6" s="431">
        <v>8331</v>
      </c>
      <c r="H6" s="192">
        <v>8589.4376623029984</v>
      </c>
      <c r="I6" s="192">
        <v>8818.2178137850333</v>
      </c>
      <c r="J6" s="192">
        <v>8597</v>
      </c>
      <c r="K6" s="192">
        <v>8640</v>
      </c>
      <c r="L6" s="192">
        <v>8623.1067463699983</v>
      </c>
      <c r="M6" s="192">
        <v>8494.3586800969988</v>
      </c>
      <c r="N6" s="192">
        <v>8738</v>
      </c>
    </row>
    <row r="7" spans="2:14" ht="26.85" customHeight="1" x14ac:dyDescent="0.25">
      <c r="B7" s="345" t="s">
        <v>334</v>
      </c>
      <c r="C7" s="345"/>
      <c r="D7" s="193" t="s">
        <v>333</v>
      </c>
      <c r="E7" s="193"/>
      <c r="F7" s="809">
        <v>15878.680386145628</v>
      </c>
      <c r="G7" s="431">
        <v>16100</v>
      </c>
      <c r="H7" s="192">
        <v>15976.748233169468</v>
      </c>
      <c r="I7" s="192">
        <v>15416.852482878528</v>
      </c>
      <c r="J7" s="192">
        <v>15860</v>
      </c>
      <c r="K7" s="192">
        <v>16294</v>
      </c>
      <c r="L7" s="192">
        <v>16800.951463761201</v>
      </c>
      <c r="M7" s="192">
        <v>16892</v>
      </c>
      <c r="N7" s="192">
        <v>16931</v>
      </c>
    </row>
    <row r="8" spans="2:14" ht="26.85" customHeight="1" x14ac:dyDescent="0.25">
      <c r="B8" s="345" t="s">
        <v>335</v>
      </c>
      <c r="C8" s="345"/>
      <c r="D8" s="193" t="s">
        <v>333</v>
      </c>
      <c r="E8" s="193"/>
      <c r="F8" s="809">
        <f>SUM(F6:F7)</f>
        <v>24302.35109628892</v>
      </c>
      <c r="G8" s="431">
        <f>SUM(G6:G7)</f>
        <v>24431</v>
      </c>
      <c r="H8" s="192">
        <f t="shared" ref="H8:N8" si="0">SUM(H6:H7)</f>
        <v>24566.185895472467</v>
      </c>
      <c r="I8" s="192">
        <f t="shared" si="0"/>
        <v>24235.070296663562</v>
      </c>
      <c r="J8" s="192">
        <f t="shared" si="0"/>
        <v>24457</v>
      </c>
      <c r="K8" s="192">
        <f t="shared" si="0"/>
        <v>24934</v>
      </c>
      <c r="L8" s="192">
        <f t="shared" si="0"/>
        <v>25424.058210131199</v>
      </c>
      <c r="M8" s="192">
        <f t="shared" si="0"/>
        <v>25386.358680097001</v>
      </c>
      <c r="N8" s="192">
        <f t="shared" si="0"/>
        <v>25669</v>
      </c>
    </row>
    <row r="9" spans="2:14" ht="26.85" customHeight="1" x14ac:dyDescent="0.25">
      <c r="B9" s="231" t="s">
        <v>336</v>
      </c>
      <c r="C9" s="231"/>
      <c r="D9" s="193"/>
      <c r="E9" s="193"/>
      <c r="F9" s="822"/>
      <c r="G9" s="433"/>
      <c r="H9" s="407"/>
      <c r="I9" s="191"/>
      <c r="J9" s="217"/>
      <c r="K9" s="217"/>
      <c r="L9" s="191"/>
      <c r="M9" s="191"/>
      <c r="N9" s="191"/>
    </row>
    <row r="10" spans="2:14" ht="26.85" customHeight="1" x14ac:dyDescent="0.25">
      <c r="B10" s="345" t="s">
        <v>337</v>
      </c>
      <c r="C10" s="345"/>
      <c r="D10" s="193" t="s">
        <v>338</v>
      </c>
      <c r="E10" s="193"/>
      <c r="F10" s="809">
        <v>1622073</v>
      </c>
      <c r="G10" s="431">
        <v>1615002</v>
      </c>
      <c r="H10" s="192">
        <v>1607474</v>
      </c>
      <c r="I10" s="192">
        <v>1598223</v>
      </c>
      <c r="J10" s="192">
        <v>1590154</v>
      </c>
      <c r="K10" s="192">
        <v>1578910</v>
      </c>
      <c r="L10" s="192">
        <v>1564021</v>
      </c>
      <c r="M10" s="192">
        <v>1545428</v>
      </c>
      <c r="N10" s="192">
        <v>1524732</v>
      </c>
    </row>
    <row r="11" spans="2:14" ht="26.85" customHeight="1" x14ac:dyDescent="0.25">
      <c r="B11" s="345" t="s">
        <v>339</v>
      </c>
      <c r="C11" s="345"/>
      <c r="D11" s="193" t="s">
        <v>338</v>
      </c>
      <c r="E11" s="193"/>
      <c r="F11" s="809">
        <v>187283</v>
      </c>
      <c r="G11" s="431">
        <v>186394</v>
      </c>
      <c r="H11" s="192">
        <f>H12-H10</f>
        <v>185668</v>
      </c>
      <c r="I11" s="192">
        <v>184829</v>
      </c>
      <c r="J11" s="192">
        <v>184050</v>
      </c>
      <c r="K11" s="192">
        <v>183169</v>
      </c>
      <c r="L11" s="192">
        <v>182253</v>
      </c>
      <c r="M11" s="192">
        <v>181866</v>
      </c>
      <c r="N11" s="192">
        <v>182182</v>
      </c>
    </row>
    <row r="12" spans="2:14" ht="26.85" customHeight="1" x14ac:dyDescent="0.25">
      <c r="B12" s="345" t="s">
        <v>340</v>
      </c>
      <c r="C12" s="345"/>
      <c r="D12" s="193" t="s">
        <v>338</v>
      </c>
      <c r="E12" s="193"/>
      <c r="F12" s="809">
        <f>SUM(F10,F11)</f>
        <v>1809356</v>
      </c>
      <c r="G12" s="431">
        <f>SUM(G10,G11)</f>
        <v>1801396</v>
      </c>
      <c r="H12" s="192">
        <v>1793142</v>
      </c>
      <c r="I12" s="192">
        <f t="shared" ref="I12:N12" si="1">SUM(I10:I11)</f>
        <v>1783052</v>
      </c>
      <c r="J12" s="192">
        <f t="shared" si="1"/>
        <v>1774204</v>
      </c>
      <c r="K12" s="192">
        <f t="shared" si="1"/>
        <v>1762079</v>
      </c>
      <c r="L12" s="192">
        <f t="shared" si="1"/>
        <v>1746274</v>
      </c>
      <c r="M12" s="192">
        <f t="shared" si="1"/>
        <v>1727294</v>
      </c>
      <c r="N12" s="192">
        <f t="shared" si="1"/>
        <v>1706914</v>
      </c>
    </row>
    <row r="13" spans="2:14" ht="26.85" customHeight="1" x14ac:dyDescent="0.25">
      <c r="B13" s="345" t="s">
        <v>341</v>
      </c>
      <c r="C13" s="344"/>
      <c r="D13" s="792" t="s">
        <v>338</v>
      </c>
      <c r="E13" s="193"/>
      <c r="F13" s="809">
        <v>53976</v>
      </c>
      <c r="G13" s="431">
        <v>51090</v>
      </c>
      <c r="H13" s="372" t="s">
        <v>23</v>
      </c>
      <c r="I13" s="372" t="s">
        <v>23</v>
      </c>
      <c r="J13" s="372" t="s">
        <v>23</v>
      </c>
      <c r="K13" s="372" t="s">
        <v>23</v>
      </c>
      <c r="L13" s="372" t="s">
        <v>23</v>
      </c>
      <c r="M13" s="372" t="s">
        <v>23</v>
      </c>
      <c r="N13" s="372" t="s">
        <v>23</v>
      </c>
    </row>
    <row r="14" spans="2:14" ht="26.85" customHeight="1" x14ac:dyDescent="0.25">
      <c r="B14" s="314" t="s">
        <v>342</v>
      </c>
      <c r="C14" s="314"/>
      <c r="D14" s="193"/>
      <c r="E14" s="193"/>
      <c r="F14" s="822"/>
      <c r="G14" s="433"/>
      <c r="H14" s="407"/>
      <c r="I14" s="247"/>
      <c r="J14" s="408"/>
      <c r="K14" s="408"/>
      <c r="L14" s="247"/>
      <c r="M14" s="247"/>
      <c r="N14" s="247"/>
    </row>
    <row r="15" spans="2:14" ht="26.85" customHeight="1" x14ac:dyDescent="0.25">
      <c r="B15" s="345" t="s">
        <v>343</v>
      </c>
      <c r="C15" s="345"/>
      <c r="D15" s="193" t="s">
        <v>25</v>
      </c>
      <c r="E15" s="193"/>
      <c r="F15" s="809">
        <f>F16-G16</f>
        <v>213683</v>
      </c>
      <c r="G15" s="431">
        <f>G16-H16</f>
        <v>76662</v>
      </c>
      <c r="H15" s="192">
        <f>H16-I16</f>
        <v>75585</v>
      </c>
      <c r="I15" s="192">
        <v>56587</v>
      </c>
      <c r="J15" s="409" t="s">
        <v>23</v>
      </c>
      <c r="K15" s="409" t="s">
        <v>23</v>
      </c>
      <c r="L15" s="409" t="s">
        <v>23</v>
      </c>
      <c r="M15" s="409" t="s">
        <v>23</v>
      </c>
      <c r="N15" s="409" t="s">
        <v>23</v>
      </c>
    </row>
    <row r="16" spans="2:14" ht="26.85" customHeight="1" x14ac:dyDescent="0.25">
      <c r="B16" s="345" t="s">
        <v>344</v>
      </c>
      <c r="C16" s="345"/>
      <c r="D16" s="193" t="s">
        <v>25</v>
      </c>
      <c r="E16" s="193"/>
      <c r="F16" s="809">
        <v>530595</v>
      </c>
      <c r="G16" s="431">
        <v>316912</v>
      </c>
      <c r="H16" s="192">
        <v>240250</v>
      </c>
      <c r="I16" s="192">
        <v>164665</v>
      </c>
      <c r="J16" s="409" t="s">
        <v>23</v>
      </c>
      <c r="K16" s="409" t="s">
        <v>23</v>
      </c>
      <c r="L16" s="409" t="s">
        <v>23</v>
      </c>
      <c r="M16" s="409" t="s">
        <v>23</v>
      </c>
      <c r="N16" s="409" t="s">
        <v>23</v>
      </c>
    </row>
    <row r="17" spans="2:14" ht="26.85" customHeight="1" x14ac:dyDescent="0.25">
      <c r="B17" s="350" t="s">
        <v>345</v>
      </c>
      <c r="C17" s="350"/>
      <c r="D17" s="193" t="s">
        <v>31</v>
      </c>
      <c r="E17" s="193"/>
      <c r="F17" s="839">
        <f>F16/F12</f>
        <v>0.29325074777987303</v>
      </c>
      <c r="G17" s="831">
        <f>G16/G12</f>
        <v>0.17592578200462308</v>
      </c>
      <c r="H17" s="410">
        <f>H16/H12</f>
        <v>0.13398269629510659</v>
      </c>
      <c r="I17" s="208">
        <f>I16/I12</f>
        <v>9.2350082891581406E-2</v>
      </c>
      <c r="J17" s="409" t="s">
        <v>23</v>
      </c>
      <c r="K17" s="409" t="s">
        <v>23</v>
      </c>
      <c r="L17" s="409" t="s">
        <v>23</v>
      </c>
      <c r="M17" s="409" t="s">
        <v>23</v>
      </c>
      <c r="N17" s="409" t="s">
        <v>23</v>
      </c>
    </row>
    <row r="18" spans="2:14" ht="26.85" customHeight="1" x14ac:dyDescent="0.25">
      <c r="B18" s="314" t="s">
        <v>346</v>
      </c>
      <c r="C18" s="314"/>
      <c r="D18" s="193"/>
      <c r="E18" s="193"/>
      <c r="F18" s="822"/>
      <c r="G18" s="824"/>
      <c r="H18" s="407"/>
      <c r="I18" s="191"/>
      <c r="J18" s="217"/>
      <c r="K18" s="217"/>
      <c r="L18" s="191"/>
      <c r="M18" s="191"/>
      <c r="N18" s="191"/>
    </row>
    <row r="19" spans="2:14" ht="26.85" customHeight="1" x14ac:dyDescent="0.25">
      <c r="B19" s="345" t="s">
        <v>347</v>
      </c>
      <c r="C19" s="345"/>
      <c r="D19" s="248" t="s">
        <v>348</v>
      </c>
      <c r="E19" s="248"/>
      <c r="F19" s="840">
        <v>73.09</v>
      </c>
      <c r="G19" s="397">
        <v>69.152717969806005</v>
      </c>
      <c r="H19" s="411">
        <v>59.62</v>
      </c>
      <c r="I19" s="412">
        <v>74.819999999999993</v>
      </c>
      <c r="J19" s="413">
        <v>70.680000000000007</v>
      </c>
      <c r="K19" s="413">
        <v>92.18</v>
      </c>
      <c r="L19" s="412">
        <v>74.69</v>
      </c>
      <c r="M19" s="412">
        <v>69.400000000000006</v>
      </c>
      <c r="N19" s="412">
        <v>79</v>
      </c>
    </row>
    <row r="20" spans="2:14" ht="26.85" customHeight="1" x14ac:dyDescent="0.25">
      <c r="B20" s="345" t="s">
        <v>349</v>
      </c>
      <c r="C20" s="345"/>
      <c r="D20" s="248" t="s">
        <v>350</v>
      </c>
      <c r="E20" s="248"/>
      <c r="F20" s="841">
        <v>0.57999999999999996</v>
      </c>
      <c r="G20" s="832">
        <v>0.57691616717630101</v>
      </c>
      <c r="H20" s="660">
        <v>0.52</v>
      </c>
      <c r="I20" s="661">
        <v>0.61</v>
      </c>
      <c r="J20" s="662">
        <v>0.56000000000000005</v>
      </c>
      <c r="K20" s="662">
        <v>0.68</v>
      </c>
      <c r="L20" s="661">
        <v>0.65600000000000003</v>
      </c>
      <c r="M20" s="661">
        <v>0.68</v>
      </c>
      <c r="N20" s="661">
        <v>0.71</v>
      </c>
    </row>
    <row r="21" spans="2:14" ht="26.85" customHeight="1" x14ac:dyDescent="0.25">
      <c r="B21" s="314" t="s">
        <v>351</v>
      </c>
      <c r="C21" s="314"/>
      <c r="D21" s="248"/>
      <c r="E21" s="248"/>
      <c r="F21" s="842"/>
      <c r="G21" s="416"/>
      <c r="H21" s="411"/>
      <c r="I21" s="414"/>
      <c r="J21" s="415"/>
      <c r="K21" s="415"/>
      <c r="L21" s="412"/>
      <c r="M21" s="412"/>
      <c r="N21" s="412"/>
    </row>
    <row r="22" spans="2:14" ht="26.85" customHeight="1" x14ac:dyDescent="0.25">
      <c r="B22" s="345" t="s">
        <v>352</v>
      </c>
      <c r="C22" s="345"/>
      <c r="D22" s="248" t="s">
        <v>353</v>
      </c>
      <c r="E22" s="248"/>
      <c r="F22" s="843">
        <v>688.96412500000008</v>
      </c>
      <c r="G22" s="833">
        <v>584.79</v>
      </c>
      <c r="H22" s="411">
        <v>559.29912999999999</v>
      </c>
      <c r="I22" s="397">
        <v>574.77114000000006</v>
      </c>
      <c r="J22" s="397">
        <v>558.20432000000005</v>
      </c>
      <c r="K22" s="397">
        <v>546.67978400000004</v>
      </c>
      <c r="L22" s="397">
        <v>640.46980000000008</v>
      </c>
      <c r="M22" s="397">
        <v>643.89077999999995</v>
      </c>
      <c r="N22" s="397">
        <v>666.85523499999999</v>
      </c>
    </row>
    <row r="23" spans="2:14" ht="26.85" customHeight="1" x14ac:dyDescent="0.25">
      <c r="B23" s="314" t="s">
        <v>625</v>
      </c>
      <c r="C23" s="312"/>
      <c r="D23" s="248"/>
      <c r="E23" s="248"/>
      <c r="F23" s="842"/>
      <c r="G23" s="416"/>
      <c r="H23" s="249"/>
      <c r="I23" s="249"/>
      <c r="J23" s="249"/>
      <c r="K23" s="416"/>
      <c r="L23" s="249"/>
      <c r="M23" s="249"/>
      <c r="N23" s="249"/>
    </row>
    <row r="24" spans="2:14" ht="26.85" customHeight="1" x14ac:dyDescent="0.25">
      <c r="B24" s="563" t="s">
        <v>354</v>
      </c>
      <c r="C24" s="351"/>
      <c r="D24" s="248" t="s">
        <v>31</v>
      </c>
      <c r="E24" s="248"/>
      <c r="F24" s="602">
        <v>0.41</v>
      </c>
      <c r="G24" s="834">
        <v>0.38</v>
      </c>
      <c r="H24" s="250">
        <v>0.27</v>
      </c>
      <c r="I24" s="250">
        <v>0.21</v>
      </c>
      <c r="J24" s="250">
        <v>0.19</v>
      </c>
      <c r="K24" s="417">
        <v>0.19</v>
      </c>
      <c r="L24" s="250">
        <v>0.18</v>
      </c>
      <c r="M24" s="403" t="s">
        <v>23</v>
      </c>
      <c r="N24" s="403" t="s">
        <v>23</v>
      </c>
    </row>
    <row r="25" spans="2:14" ht="26.85" customHeight="1" x14ac:dyDescent="0.25">
      <c r="B25" s="563" t="s">
        <v>355</v>
      </c>
      <c r="C25" s="351"/>
      <c r="D25" s="210" t="s">
        <v>31</v>
      </c>
      <c r="E25" s="210"/>
      <c r="F25" s="810">
        <v>0.59</v>
      </c>
      <c r="G25" s="835">
        <v>0.62</v>
      </c>
      <c r="H25" s="418">
        <v>0.73</v>
      </c>
      <c r="I25" s="418">
        <v>0.79</v>
      </c>
      <c r="J25" s="418">
        <v>0.81</v>
      </c>
      <c r="K25" s="418">
        <v>0.81</v>
      </c>
      <c r="L25" s="418">
        <v>0.82</v>
      </c>
      <c r="M25" s="403" t="s">
        <v>23</v>
      </c>
      <c r="N25" s="403" t="s">
        <v>23</v>
      </c>
    </row>
    <row r="26" spans="2:14" ht="62.85" customHeight="1" x14ac:dyDescent="0.2">
      <c r="B26" s="999" t="s">
        <v>636</v>
      </c>
      <c r="C26" s="999"/>
      <c r="D26" s="999"/>
      <c r="E26" s="999"/>
      <c r="F26" s="999"/>
      <c r="G26" s="999"/>
      <c r="H26" s="999"/>
      <c r="I26" s="999"/>
      <c r="J26" s="999"/>
      <c r="K26" s="999"/>
      <c r="L26" s="999"/>
      <c r="M26" s="999"/>
      <c r="N26" s="999"/>
    </row>
    <row r="27" spans="2:14" ht="50.1" customHeight="1" x14ac:dyDescent="0.2">
      <c r="D27" s="32"/>
      <c r="E27" s="32"/>
      <c r="F27" s="32"/>
      <c r="H27" s="29"/>
      <c r="I27" s="29"/>
      <c r="J27" s="29"/>
      <c r="K27" s="29"/>
      <c r="L27" s="41"/>
      <c r="M27" s="41"/>
      <c r="N27" s="41"/>
    </row>
    <row r="28" spans="2:14" ht="26.85" customHeight="1" x14ac:dyDescent="0.2">
      <c r="B28" s="6" t="s">
        <v>356</v>
      </c>
      <c r="C28" s="6"/>
      <c r="D28" s="7" t="s">
        <v>9</v>
      </c>
      <c r="E28" s="7"/>
      <c r="F28" s="8" t="s">
        <v>10</v>
      </c>
      <c r="G28" s="9" t="s">
        <v>11</v>
      </c>
      <c r="H28" s="9" t="s">
        <v>12</v>
      </c>
      <c r="I28" s="9" t="s">
        <v>13</v>
      </c>
      <c r="J28" s="9" t="s">
        <v>14</v>
      </c>
      <c r="K28" s="9" t="s">
        <v>15</v>
      </c>
      <c r="L28" s="9" t="s">
        <v>16</v>
      </c>
      <c r="M28" s="9" t="s">
        <v>17</v>
      </c>
      <c r="N28" s="9" t="s">
        <v>18</v>
      </c>
    </row>
    <row r="29" spans="2:14" ht="26.85" customHeight="1" x14ac:dyDescent="0.25">
      <c r="B29" s="243" t="s">
        <v>626</v>
      </c>
      <c r="C29" s="243"/>
      <c r="D29" s="235"/>
      <c r="E29" s="235"/>
      <c r="F29" s="820"/>
      <c r="G29" s="433"/>
      <c r="H29" s="372"/>
      <c r="I29" s="372"/>
      <c r="J29" s="372"/>
      <c r="K29" s="372"/>
      <c r="L29" s="372"/>
      <c r="M29" s="372"/>
      <c r="N29" s="372"/>
    </row>
    <row r="30" spans="2:14" ht="26.85" customHeight="1" x14ac:dyDescent="0.25">
      <c r="B30" s="353" t="s">
        <v>357</v>
      </c>
      <c r="C30" s="352"/>
      <c r="D30" s="251" t="s">
        <v>25</v>
      </c>
      <c r="E30" s="251"/>
      <c r="F30" s="233">
        <v>291</v>
      </c>
      <c r="G30" s="433">
        <v>60</v>
      </c>
      <c r="H30" s="259">
        <v>2</v>
      </c>
      <c r="I30" s="372" t="s">
        <v>23</v>
      </c>
      <c r="J30" s="372" t="s">
        <v>23</v>
      </c>
      <c r="K30" s="372" t="s">
        <v>23</v>
      </c>
      <c r="L30" s="372" t="s">
        <v>23</v>
      </c>
      <c r="M30" s="372" t="s">
        <v>23</v>
      </c>
      <c r="N30" s="372" t="s">
        <v>23</v>
      </c>
    </row>
    <row r="31" spans="2:14" ht="26.85" customHeight="1" x14ac:dyDescent="0.25">
      <c r="B31" s="353" t="s">
        <v>358</v>
      </c>
      <c r="C31" s="352"/>
      <c r="D31" s="251" t="s">
        <v>25</v>
      </c>
      <c r="E31" s="251"/>
      <c r="F31" s="233">
        <v>31</v>
      </c>
      <c r="G31" s="433">
        <v>27</v>
      </c>
      <c r="H31" s="259">
        <v>25</v>
      </c>
      <c r="I31" s="372" t="s">
        <v>23</v>
      </c>
      <c r="J31" s="372" t="s">
        <v>23</v>
      </c>
      <c r="K31" s="372" t="s">
        <v>23</v>
      </c>
      <c r="L31" s="372" t="s">
        <v>23</v>
      </c>
      <c r="M31" s="372" t="s">
        <v>23</v>
      </c>
      <c r="N31" s="372" t="s">
        <v>23</v>
      </c>
    </row>
    <row r="32" spans="2:14" ht="26.85" customHeight="1" x14ac:dyDescent="0.25">
      <c r="B32" s="353" t="s">
        <v>359</v>
      </c>
      <c r="C32" s="353"/>
      <c r="D32" s="251" t="s">
        <v>25</v>
      </c>
      <c r="E32" s="251"/>
      <c r="F32" s="233">
        <f>SUM(F30:F31)</f>
        <v>322</v>
      </c>
      <c r="G32" s="433">
        <v>87</v>
      </c>
      <c r="H32" s="259">
        <v>27</v>
      </c>
      <c r="I32" s="257">
        <v>14</v>
      </c>
      <c r="J32" s="403" t="s">
        <v>23</v>
      </c>
      <c r="K32" s="403" t="s">
        <v>23</v>
      </c>
      <c r="L32" s="403" t="s">
        <v>23</v>
      </c>
      <c r="M32" s="403" t="s">
        <v>23</v>
      </c>
      <c r="N32" s="403" t="s">
        <v>23</v>
      </c>
    </row>
    <row r="33" spans="2:14" ht="26.85" customHeight="1" x14ac:dyDescent="0.25">
      <c r="B33" s="350" t="s">
        <v>360</v>
      </c>
      <c r="C33" s="350"/>
      <c r="D33" s="251" t="s">
        <v>361</v>
      </c>
      <c r="E33" s="251"/>
      <c r="F33" s="809">
        <v>3892</v>
      </c>
      <c r="G33" s="431">
        <v>1871</v>
      </c>
      <c r="H33" s="259">
        <v>588</v>
      </c>
      <c r="I33" s="257">
        <v>45.4</v>
      </c>
      <c r="J33" s="403" t="s">
        <v>23</v>
      </c>
      <c r="K33" s="403" t="s">
        <v>23</v>
      </c>
      <c r="L33" s="403" t="s">
        <v>23</v>
      </c>
      <c r="M33" s="403" t="s">
        <v>23</v>
      </c>
      <c r="N33" s="403" t="s">
        <v>23</v>
      </c>
    </row>
    <row r="34" spans="2:14" ht="26.85" customHeight="1" x14ac:dyDescent="0.25">
      <c r="B34" s="246" t="s">
        <v>362</v>
      </c>
      <c r="C34" s="246"/>
      <c r="D34" s="251"/>
      <c r="E34" s="251"/>
      <c r="F34" s="820"/>
      <c r="G34" s="433"/>
      <c r="H34" s="396"/>
      <c r="I34" s="257"/>
      <c r="J34" s="403"/>
      <c r="K34" s="403"/>
      <c r="L34" s="403"/>
      <c r="M34" s="403"/>
      <c r="N34" s="403"/>
    </row>
    <row r="35" spans="2:14" ht="26.85" customHeight="1" x14ac:dyDescent="0.25">
      <c r="B35" s="355" t="s">
        <v>363</v>
      </c>
      <c r="C35" s="346"/>
      <c r="D35" s="251" t="s">
        <v>25</v>
      </c>
      <c r="E35" s="251"/>
      <c r="F35" s="844">
        <v>62339</v>
      </c>
      <c r="G35" s="431">
        <v>43800</v>
      </c>
      <c r="H35" s="192">
        <v>27200</v>
      </c>
      <c r="I35" s="372" t="s">
        <v>23</v>
      </c>
      <c r="J35" s="372" t="s">
        <v>23</v>
      </c>
      <c r="K35" s="372" t="s">
        <v>23</v>
      </c>
      <c r="L35" s="372" t="s">
        <v>23</v>
      </c>
      <c r="M35" s="372" t="s">
        <v>23</v>
      </c>
      <c r="N35" s="372" t="s">
        <v>23</v>
      </c>
    </row>
    <row r="36" spans="2:14" ht="26.85" customHeight="1" x14ac:dyDescent="0.25">
      <c r="B36" s="355" t="s">
        <v>363</v>
      </c>
      <c r="C36" s="346"/>
      <c r="D36" s="251" t="s">
        <v>31</v>
      </c>
      <c r="E36" s="251"/>
      <c r="F36" s="845">
        <f>F35/2090118</f>
        <v>2.9825588794508251E-2</v>
      </c>
      <c r="G36" s="836">
        <v>1.47E-2</v>
      </c>
      <c r="H36" s="388">
        <v>8.0000000000000002E-3</v>
      </c>
      <c r="I36" s="405">
        <v>3.0000000000000001E-3</v>
      </c>
      <c r="J36" s="389">
        <v>2E-3</v>
      </c>
      <c r="K36" s="390">
        <v>1E-3</v>
      </c>
      <c r="L36" s="406">
        <v>0</v>
      </c>
      <c r="M36" s="406">
        <v>0</v>
      </c>
      <c r="N36" s="406">
        <v>0</v>
      </c>
    </row>
    <row r="37" spans="2:14" ht="26.85" customHeight="1" x14ac:dyDescent="0.2">
      <c r="B37" s="356" t="s">
        <v>627</v>
      </c>
      <c r="C37" s="356"/>
      <c r="D37" s="98"/>
      <c r="E37" s="98"/>
      <c r="F37" s="98"/>
      <c r="G37" s="71"/>
      <c r="H37" s="340"/>
      <c r="I37" s="341"/>
      <c r="J37" s="342"/>
      <c r="K37" s="340"/>
      <c r="L37" s="340"/>
      <c r="M37" s="340"/>
      <c r="N37" s="340"/>
    </row>
    <row r="38" spans="2:14" ht="50.1" customHeight="1" x14ac:dyDescent="0.2">
      <c r="B38" s="83"/>
      <c r="C38" s="83"/>
      <c r="D38" s="18"/>
      <c r="E38" s="18"/>
      <c r="F38" s="18"/>
      <c r="G38" s="71"/>
      <c r="H38" s="85"/>
      <c r="I38" s="84"/>
      <c r="J38" s="55"/>
      <c r="K38" s="86"/>
      <c r="L38" s="87"/>
      <c r="M38" s="87"/>
      <c r="N38" s="87"/>
    </row>
    <row r="39" spans="2:14" ht="26.85" customHeight="1" x14ac:dyDescent="0.2">
      <c r="B39" s="6" t="s">
        <v>628</v>
      </c>
      <c r="C39" s="6"/>
      <c r="D39" s="7" t="s">
        <v>9</v>
      </c>
      <c r="E39" s="7"/>
      <c r="F39" s="8" t="s">
        <v>10</v>
      </c>
      <c r="G39" s="9" t="s">
        <v>11</v>
      </c>
      <c r="H39" s="9" t="s">
        <v>12</v>
      </c>
      <c r="I39" s="9" t="s">
        <v>13</v>
      </c>
      <c r="J39" s="9" t="s">
        <v>14</v>
      </c>
      <c r="K39" s="9" t="s">
        <v>15</v>
      </c>
      <c r="L39" s="9" t="s">
        <v>16</v>
      </c>
      <c r="M39" s="9" t="s">
        <v>17</v>
      </c>
      <c r="N39" s="9" t="s">
        <v>18</v>
      </c>
    </row>
    <row r="40" spans="2:14" ht="26.85" customHeight="1" x14ac:dyDescent="0.25">
      <c r="B40" t="s">
        <v>629</v>
      </c>
      <c r="C40" s="245"/>
      <c r="D40" s="235"/>
      <c r="E40" s="235"/>
      <c r="F40" s="820"/>
      <c r="G40" s="433"/>
      <c r="H40" s="402"/>
      <c r="I40" s="244"/>
      <c r="J40" s="244"/>
      <c r="K40" s="244"/>
      <c r="L40" s="244"/>
      <c r="M40" s="244"/>
      <c r="N40" s="244"/>
    </row>
    <row r="41" spans="2:14" ht="26.85" customHeight="1" x14ac:dyDescent="0.25">
      <c r="B41" t="s">
        <v>364</v>
      </c>
      <c r="C41" s="352"/>
      <c r="D41" s="251" t="s">
        <v>365</v>
      </c>
      <c r="E41" s="251"/>
      <c r="F41" s="236">
        <v>22</v>
      </c>
      <c r="G41" s="433">
        <v>18</v>
      </c>
      <c r="H41" s="259">
        <v>5</v>
      </c>
      <c r="I41" s="793">
        <v>3</v>
      </c>
      <c r="J41" s="403" t="s">
        <v>23</v>
      </c>
      <c r="K41" s="403" t="s">
        <v>23</v>
      </c>
      <c r="L41" s="403" t="s">
        <v>23</v>
      </c>
      <c r="M41" s="403" t="s">
        <v>23</v>
      </c>
      <c r="N41" s="403" t="s">
        <v>23</v>
      </c>
    </row>
    <row r="42" spans="2:14" ht="26.85" customHeight="1" x14ac:dyDescent="0.25">
      <c r="B42" t="s">
        <v>366</v>
      </c>
      <c r="C42" s="352"/>
      <c r="D42" s="251" t="s">
        <v>367</v>
      </c>
      <c r="E42" s="251"/>
      <c r="F42" s="236">
        <v>13854</v>
      </c>
      <c r="G42" s="433">
        <v>4400</v>
      </c>
      <c r="H42" s="259">
        <v>1289.0000000000002</v>
      </c>
      <c r="I42" s="793">
        <v>1159</v>
      </c>
      <c r="J42" s="403" t="s">
        <v>23</v>
      </c>
      <c r="K42" s="403" t="s">
        <v>23</v>
      </c>
      <c r="L42" s="403" t="s">
        <v>23</v>
      </c>
      <c r="M42" s="403" t="s">
        <v>23</v>
      </c>
      <c r="N42" s="403" t="s">
        <v>23</v>
      </c>
    </row>
    <row r="43" spans="2:14" ht="26.85" customHeight="1" x14ac:dyDescent="0.25">
      <c r="B43" t="s">
        <v>630</v>
      </c>
      <c r="C43" s="354"/>
      <c r="D43" s="251" t="s">
        <v>365</v>
      </c>
      <c r="E43" s="251"/>
      <c r="F43" s="236">
        <v>1</v>
      </c>
      <c r="G43" s="433">
        <v>0</v>
      </c>
      <c r="H43" s="380" t="s">
        <v>23</v>
      </c>
      <c r="I43" s="380" t="s">
        <v>23</v>
      </c>
      <c r="J43" s="403" t="s">
        <v>23</v>
      </c>
      <c r="K43" s="403" t="s">
        <v>23</v>
      </c>
      <c r="L43" s="403" t="s">
        <v>23</v>
      </c>
      <c r="M43" s="403" t="s">
        <v>23</v>
      </c>
      <c r="N43" s="403" t="s">
        <v>23</v>
      </c>
    </row>
    <row r="44" spans="2:14" ht="26.85" customHeight="1" x14ac:dyDescent="0.25">
      <c r="B44" s="243" t="s">
        <v>368</v>
      </c>
      <c r="C44" s="245"/>
      <c r="D44" s="210"/>
      <c r="E44" s="210"/>
      <c r="F44" s="233"/>
      <c r="G44" s="433"/>
      <c r="H44" s="402"/>
      <c r="I44" s="244"/>
      <c r="J44" s="244"/>
      <c r="K44" s="244"/>
      <c r="L44" s="244"/>
      <c r="M44" s="244"/>
      <c r="N44" s="244"/>
    </row>
    <row r="45" spans="2:14" ht="26.85" customHeight="1" x14ac:dyDescent="0.25">
      <c r="B45" s="350" t="s">
        <v>369</v>
      </c>
      <c r="C45" s="354"/>
      <c r="D45" s="251" t="s">
        <v>365</v>
      </c>
      <c r="E45" s="251"/>
      <c r="F45" s="236">
        <v>0</v>
      </c>
      <c r="G45" s="433">
        <v>0</v>
      </c>
      <c r="H45" s="403" t="s">
        <v>23</v>
      </c>
      <c r="I45" s="403" t="s">
        <v>23</v>
      </c>
      <c r="J45" s="403" t="s">
        <v>23</v>
      </c>
      <c r="K45" s="403" t="s">
        <v>23</v>
      </c>
      <c r="L45" s="403" t="s">
        <v>23</v>
      </c>
      <c r="M45" s="403" t="s">
        <v>23</v>
      </c>
      <c r="N45" s="403" t="s">
        <v>23</v>
      </c>
    </row>
    <row r="46" spans="2:14" ht="26.85" customHeight="1" x14ac:dyDescent="0.25">
      <c r="B46" s="350" t="s">
        <v>370</v>
      </c>
      <c r="C46" s="354"/>
      <c r="D46" s="251" t="s">
        <v>367</v>
      </c>
      <c r="E46" s="251"/>
      <c r="F46" s="236">
        <v>0</v>
      </c>
      <c r="G46" s="433">
        <v>0</v>
      </c>
      <c r="H46" s="403" t="s">
        <v>23</v>
      </c>
      <c r="I46" s="403" t="s">
        <v>23</v>
      </c>
      <c r="J46" s="403" t="s">
        <v>23</v>
      </c>
      <c r="K46" s="403" t="s">
        <v>23</v>
      </c>
      <c r="L46" s="403" t="s">
        <v>23</v>
      </c>
      <c r="M46" s="403" t="s">
        <v>23</v>
      </c>
      <c r="N46" s="403" t="s">
        <v>23</v>
      </c>
    </row>
    <row r="47" spans="2:14" ht="49.5" customHeight="1" x14ac:dyDescent="0.2">
      <c r="B47" s="1002" t="s">
        <v>631</v>
      </c>
      <c r="C47" s="1002"/>
      <c r="D47" s="1002"/>
      <c r="E47" s="1002"/>
      <c r="F47" s="1002"/>
      <c r="G47" s="1002"/>
      <c r="H47" s="1002"/>
      <c r="I47" s="1002"/>
      <c r="J47" s="1002"/>
      <c r="K47" s="1002"/>
      <c r="L47" s="1002"/>
      <c r="M47" s="1002"/>
      <c r="N47" s="1002"/>
    </row>
    <row r="48" spans="2:14" ht="50.1" customHeight="1" x14ac:dyDescent="0.2">
      <c r="B48" s="83"/>
      <c r="C48" s="83"/>
      <c r="D48" s="18"/>
      <c r="E48" s="18"/>
      <c r="F48" s="18"/>
      <c r="G48" s="71"/>
      <c r="H48" s="90"/>
      <c r="I48" s="84"/>
      <c r="J48" s="91"/>
      <c r="K48" s="86"/>
      <c r="L48" s="87"/>
      <c r="M48" s="87"/>
      <c r="N48" s="87"/>
    </row>
    <row r="49" spans="2:14" ht="26.85" customHeight="1" x14ac:dyDescent="0.2">
      <c r="B49" s="6" t="s">
        <v>371</v>
      </c>
      <c r="C49" s="6"/>
      <c r="D49" s="7" t="s">
        <v>9</v>
      </c>
      <c r="E49" s="7"/>
      <c r="F49" s="8" t="s">
        <v>10</v>
      </c>
      <c r="G49" s="9" t="s">
        <v>11</v>
      </c>
      <c r="H49" s="9" t="s">
        <v>12</v>
      </c>
      <c r="I49" s="9" t="s">
        <v>13</v>
      </c>
      <c r="J49" s="9" t="s">
        <v>14</v>
      </c>
      <c r="K49" s="9" t="s">
        <v>15</v>
      </c>
      <c r="L49" s="9" t="s">
        <v>16</v>
      </c>
      <c r="M49" s="9" t="s">
        <v>17</v>
      </c>
      <c r="N49" s="9" t="s">
        <v>18</v>
      </c>
    </row>
    <row r="50" spans="2:14" ht="26.85" customHeight="1" x14ac:dyDescent="0.25">
      <c r="B50" s="243" t="s">
        <v>632</v>
      </c>
      <c r="C50" s="243"/>
      <c r="D50" s="253"/>
      <c r="E50" s="253"/>
      <c r="F50" s="846"/>
      <c r="G50" s="837"/>
      <c r="H50" s="370"/>
      <c r="I50" s="370"/>
      <c r="J50" s="371"/>
      <c r="K50" s="370"/>
      <c r="L50" s="370"/>
      <c r="M50" s="370"/>
      <c r="N50" s="370"/>
    </row>
    <row r="51" spans="2:14" ht="26.85" customHeight="1" x14ac:dyDescent="0.25">
      <c r="B51" s="355" t="s">
        <v>372</v>
      </c>
      <c r="C51" s="355"/>
      <c r="D51" s="251" t="s">
        <v>25</v>
      </c>
      <c r="E51" s="251"/>
      <c r="F51" s="236">
        <v>7</v>
      </c>
      <c r="G51" s="433">
        <v>0</v>
      </c>
      <c r="H51" s="259">
        <v>3</v>
      </c>
      <c r="I51" s="401" t="s">
        <v>23</v>
      </c>
      <c r="J51" s="401" t="s">
        <v>23</v>
      </c>
      <c r="K51" s="401" t="s">
        <v>23</v>
      </c>
      <c r="L51" s="401" t="s">
        <v>23</v>
      </c>
      <c r="M51" s="401" t="s">
        <v>23</v>
      </c>
      <c r="N51" s="401" t="s">
        <v>23</v>
      </c>
    </row>
    <row r="52" spans="2:14" ht="26.85" customHeight="1" x14ac:dyDescent="0.25">
      <c r="B52" s="355" t="s">
        <v>373</v>
      </c>
      <c r="C52" s="355"/>
      <c r="D52" s="251" t="s">
        <v>367</v>
      </c>
      <c r="E52" s="251"/>
      <c r="F52" s="844">
        <v>44120</v>
      </c>
      <c r="G52" s="431">
        <v>19100</v>
      </c>
      <c r="H52" s="192">
        <v>9550</v>
      </c>
      <c r="I52" s="401" t="s">
        <v>23</v>
      </c>
      <c r="J52" s="401" t="s">
        <v>23</v>
      </c>
      <c r="K52" s="401" t="s">
        <v>23</v>
      </c>
      <c r="L52" s="401" t="s">
        <v>23</v>
      </c>
      <c r="M52" s="401" t="s">
        <v>23</v>
      </c>
      <c r="N52" s="401" t="s">
        <v>23</v>
      </c>
    </row>
    <row r="53" spans="2:14" ht="26.85" customHeight="1" x14ac:dyDescent="0.25">
      <c r="B53" s="355" t="s">
        <v>374</v>
      </c>
      <c r="C53" s="346"/>
      <c r="D53" s="251" t="s">
        <v>25</v>
      </c>
      <c r="E53" s="251"/>
      <c r="F53" s="236">
        <v>10</v>
      </c>
      <c r="G53" s="433">
        <v>3</v>
      </c>
      <c r="H53" s="372" t="s">
        <v>23</v>
      </c>
      <c r="I53" s="372" t="s">
        <v>23</v>
      </c>
      <c r="J53" s="372" t="s">
        <v>23</v>
      </c>
      <c r="K53" s="372" t="s">
        <v>23</v>
      </c>
      <c r="L53" s="372" t="s">
        <v>23</v>
      </c>
      <c r="M53" s="372" t="s">
        <v>23</v>
      </c>
      <c r="N53" s="372" t="s">
        <v>23</v>
      </c>
    </row>
    <row r="54" spans="2:14" ht="26.85" customHeight="1" x14ac:dyDescent="0.25">
      <c r="B54" s="355" t="s">
        <v>375</v>
      </c>
      <c r="C54" s="346"/>
      <c r="D54" s="251" t="s">
        <v>367</v>
      </c>
      <c r="E54" s="251"/>
      <c r="F54" s="844">
        <v>72770</v>
      </c>
      <c r="G54" s="431">
        <f>G52+H52</f>
        <v>28650</v>
      </c>
      <c r="H54" s="372" t="s">
        <v>23</v>
      </c>
      <c r="I54" s="372" t="s">
        <v>23</v>
      </c>
      <c r="J54" s="372" t="s">
        <v>23</v>
      </c>
      <c r="K54" s="372" t="s">
        <v>23</v>
      </c>
      <c r="L54" s="372" t="s">
        <v>23</v>
      </c>
      <c r="M54" s="372" t="s">
        <v>23</v>
      </c>
      <c r="N54" s="372" t="s">
        <v>23</v>
      </c>
    </row>
    <row r="55" spans="2:14" ht="26.85" customHeight="1" x14ac:dyDescent="0.2">
      <c r="B55" s="1000" t="s">
        <v>633</v>
      </c>
      <c r="C55" s="1000"/>
      <c r="D55" s="1000"/>
      <c r="E55" s="1000"/>
      <c r="F55" s="1000"/>
      <c r="G55" s="1000"/>
      <c r="H55" s="1000"/>
      <c r="I55" s="1000"/>
      <c r="J55" s="1000"/>
      <c r="K55" s="1000"/>
      <c r="L55" s="1000"/>
      <c r="M55" s="1000"/>
      <c r="N55" s="1000"/>
    </row>
    <row r="56" spans="2:14" ht="50.1" customHeight="1" x14ac:dyDescent="0.2">
      <c r="B56" s="83"/>
      <c r="C56" s="83"/>
      <c r="D56" s="18"/>
      <c r="E56" s="18"/>
      <c r="F56" s="18"/>
      <c r="G56" s="103"/>
      <c r="H56" s="93"/>
      <c r="I56" s="92"/>
      <c r="J56" s="92"/>
      <c r="K56" s="92"/>
      <c r="L56" s="92"/>
      <c r="M56" s="92"/>
      <c r="N56" s="92"/>
    </row>
    <row r="57" spans="2:14" ht="26.85" customHeight="1" x14ac:dyDescent="0.2">
      <c r="B57" s="6" t="s">
        <v>376</v>
      </c>
      <c r="C57" s="6"/>
      <c r="D57" s="7" t="s">
        <v>9</v>
      </c>
      <c r="E57" s="7"/>
      <c r="F57" s="8" t="s">
        <v>10</v>
      </c>
      <c r="G57" s="9" t="s">
        <v>11</v>
      </c>
      <c r="H57" s="9" t="s">
        <v>12</v>
      </c>
      <c r="I57" s="9" t="s">
        <v>13</v>
      </c>
      <c r="J57" s="9" t="s">
        <v>14</v>
      </c>
      <c r="K57" s="9" t="s">
        <v>15</v>
      </c>
      <c r="L57" s="9" t="s">
        <v>16</v>
      </c>
      <c r="M57" s="9" t="s">
        <v>17</v>
      </c>
      <c r="N57" s="9" t="s">
        <v>18</v>
      </c>
    </row>
    <row r="58" spans="2:14" ht="26.85" customHeight="1" x14ac:dyDescent="0.25">
      <c r="B58" s="243" t="s">
        <v>634</v>
      </c>
      <c r="C58" s="243"/>
      <c r="D58" s="253"/>
      <c r="E58" s="253"/>
      <c r="F58" s="846"/>
      <c r="G58" s="837"/>
      <c r="H58" s="370"/>
      <c r="I58" s="370"/>
      <c r="J58" s="371"/>
      <c r="K58" s="370"/>
      <c r="L58" s="370"/>
      <c r="M58" s="370"/>
      <c r="N58" s="370"/>
    </row>
    <row r="59" spans="2:14" ht="26.85" customHeight="1" x14ac:dyDescent="0.25">
      <c r="B59" s="355" t="s">
        <v>372</v>
      </c>
      <c r="C59" s="346"/>
      <c r="D59" s="251" t="s">
        <v>25</v>
      </c>
      <c r="E59" s="251"/>
      <c r="F59" s="236">
        <v>1</v>
      </c>
      <c r="G59" s="433" t="s">
        <v>23</v>
      </c>
      <c r="H59" s="259" t="s">
        <v>23</v>
      </c>
      <c r="I59" s="401" t="s">
        <v>23</v>
      </c>
      <c r="J59" s="401" t="s">
        <v>23</v>
      </c>
      <c r="K59" s="401" t="s">
        <v>23</v>
      </c>
      <c r="L59" s="401" t="s">
        <v>23</v>
      </c>
      <c r="M59" s="401" t="s">
        <v>23</v>
      </c>
      <c r="N59" s="401" t="s">
        <v>23</v>
      </c>
    </row>
    <row r="60" spans="2:14" ht="26.85" customHeight="1" x14ac:dyDescent="0.25">
      <c r="B60" s="355" t="s">
        <v>377</v>
      </c>
      <c r="C60" s="346"/>
      <c r="D60" s="251" t="s">
        <v>367</v>
      </c>
      <c r="E60" s="251"/>
      <c r="F60" s="233" t="s">
        <v>378</v>
      </c>
      <c r="G60" s="433" t="s">
        <v>23</v>
      </c>
      <c r="H60" s="372" t="s">
        <v>23</v>
      </c>
      <c r="I60" s="401" t="s">
        <v>23</v>
      </c>
      <c r="J60" s="401" t="s">
        <v>23</v>
      </c>
      <c r="K60" s="401" t="s">
        <v>23</v>
      </c>
      <c r="L60" s="401" t="s">
        <v>23</v>
      </c>
      <c r="M60" s="401" t="s">
        <v>23</v>
      </c>
      <c r="N60" s="401" t="s">
        <v>23</v>
      </c>
    </row>
    <row r="61" spans="2:14" ht="26.85" customHeight="1" x14ac:dyDescent="0.25">
      <c r="B61" s="355" t="s">
        <v>374</v>
      </c>
      <c r="C61" s="346"/>
      <c r="D61" s="251" t="s">
        <v>25</v>
      </c>
      <c r="E61" s="251"/>
      <c r="F61" s="236">
        <v>1</v>
      </c>
      <c r="G61" s="433" t="s">
        <v>23</v>
      </c>
      <c r="H61" s="372" t="s">
        <v>23</v>
      </c>
      <c r="I61" s="401" t="s">
        <v>23</v>
      </c>
      <c r="J61" s="401" t="s">
        <v>23</v>
      </c>
      <c r="K61" s="401" t="s">
        <v>23</v>
      </c>
      <c r="L61" s="401" t="s">
        <v>23</v>
      </c>
      <c r="M61" s="401" t="s">
        <v>23</v>
      </c>
      <c r="N61" s="401" t="s">
        <v>23</v>
      </c>
    </row>
    <row r="62" spans="2:14" ht="26.85" customHeight="1" x14ac:dyDescent="0.25">
      <c r="B62" s="355" t="s">
        <v>375</v>
      </c>
      <c r="C62" s="346"/>
      <c r="D62" s="251" t="s">
        <v>367</v>
      </c>
      <c r="E62" s="251"/>
      <c r="F62" s="233" t="s">
        <v>378</v>
      </c>
      <c r="G62" s="433" t="s">
        <v>23</v>
      </c>
      <c r="H62" s="372" t="s">
        <v>23</v>
      </c>
      <c r="I62" s="401" t="s">
        <v>23</v>
      </c>
      <c r="J62" s="401" t="s">
        <v>23</v>
      </c>
      <c r="K62" s="401" t="s">
        <v>23</v>
      </c>
      <c r="L62" s="401" t="s">
        <v>23</v>
      </c>
      <c r="M62" s="401" t="s">
        <v>23</v>
      </c>
      <c r="N62" s="401" t="s">
        <v>23</v>
      </c>
    </row>
    <row r="63" spans="2:14" ht="26.85" customHeight="1" x14ac:dyDescent="0.2">
      <c r="B63" s="1000" t="s">
        <v>635</v>
      </c>
      <c r="C63" s="1000"/>
      <c r="D63" s="1000"/>
      <c r="E63" s="1000"/>
      <c r="F63" s="1000"/>
      <c r="G63" s="1000"/>
      <c r="H63" s="1000"/>
      <c r="I63" s="1000"/>
      <c r="J63" s="1000"/>
      <c r="K63" s="1000"/>
      <c r="L63" s="1000"/>
      <c r="M63" s="1000"/>
      <c r="N63" s="1000"/>
    </row>
    <row r="64" spans="2:14" ht="50.1" customHeight="1" x14ac:dyDescent="0.2">
      <c r="B64" s="83"/>
      <c r="C64" s="83"/>
      <c r="D64" s="18"/>
      <c r="E64" s="18"/>
      <c r="F64" s="18"/>
      <c r="G64" s="71"/>
      <c r="H64" s="90"/>
      <c r="I64" s="84"/>
      <c r="J64" s="91"/>
      <c r="K64" s="86"/>
      <c r="L64" s="87"/>
      <c r="M64" s="87"/>
      <c r="N64" s="87"/>
    </row>
    <row r="65" spans="2:14" ht="26.85" customHeight="1" x14ac:dyDescent="0.2">
      <c r="B65" s="6" t="s">
        <v>26</v>
      </c>
      <c r="C65" s="6"/>
      <c r="D65" s="7" t="s">
        <v>9</v>
      </c>
      <c r="E65" s="7"/>
      <c r="F65" s="8" t="s">
        <v>10</v>
      </c>
      <c r="G65" s="9" t="s">
        <v>11</v>
      </c>
      <c r="H65" s="9" t="s">
        <v>12</v>
      </c>
      <c r="I65" s="9" t="s">
        <v>13</v>
      </c>
      <c r="J65" s="9" t="s">
        <v>14</v>
      </c>
      <c r="K65" s="9" t="s">
        <v>15</v>
      </c>
      <c r="L65" s="9" t="s">
        <v>16</v>
      </c>
      <c r="M65" s="9" t="s">
        <v>17</v>
      </c>
      <c r="N65" s="9" t="s">
        <v>18</v>
      </c>
    </row>
    <row r="66" spans="2:14" ht="26.85" customHeight="1" x14ac:dyDescent="0.25">
      <c r="B66" s="239" t="s">
        <v>379</v>
      </c>
      <c r="C66" s="239"/>
      <c r="D66" s="239" t="s">
        <v>25</v>
      </c>
      <c r="E66" s="239"/>
      <c r="F66" s="809">
        <v>261213</v>
      </c>
      <c r="G66" s="431">
        <v>259349</v>
      </c>
      <c r="H66" s="192">
        <v>258541</v>
      </c>
      <c r="I66" s="192">
        <v>257155</v>
      </c>
      <c r="J66" s="192">
        <v>256058</v>
      </c>
      <c r="K66" s="192">
        <v>255160</v>
      </c>
      <c r="L66" s="192">
        <v>259928</v>
      </c>
      <c r="M66" s="192">
        <v>258742</v>
      </c>
      <c r="N66" s="240" t="s">
        <v>23</v>
      </c>
    </row>
    <row r="67" spans="2:14" ht="26.85" customHeight="1" x14ac:dyDescent="0.25">
      <c r="B67" s="238" t="s">
        <v>380</v>
      </c>
      <c r="C67" s="238"/>
      <c r="D67" s="251" t="s">
        <v>31</v>
      </c>
      <c r="E67" s="251"/>
      <c r="F67" s="847">
        <v>0.95</v>
      </c>
      <c r="G67" s="824">
        <f>224741/G66</f>
        <v>0.86655818992940015</v>
      </c>
      <c r="H67" s="241">
        <v>0.75</v>
      </c>
      <c r="I67" s="400">
        <v>0.56999999999999995</v>
      </c>
      <c r="J67" s="241">
        <v>0.48</v>
      </c>
      <c r="K67" s="241">
        <v>0.35</v>
      </c>
      <c r="L67" s="241">
        <v>0.26</v>
      </c>
      <c r="M67" s="241">
        <v>0.16</v>
      </c>
      <c r="N67" s="242" t="s">
        <v>23</v>
      </c>
    </row>
    <row r="68" spans="2:14" ht="26.85" customHeight="1" x14ac:dyDescent="0.25">
      <c r="B68" s="238" t="s">
        <v>381</v>
      </c>
      <c r="C68" s="189"/>
      <c r="D68" s="239" t="s">
        <v>25</v>
      </c>
      <c r="E68" s="239"/>
      <c r="F68" s="809">
        <v>19579</v>
      </c>
      <c r="G68" s="431">
        <v>28036</v>
      </c>
      <c r="H68" s="372" t="s">
        <v>23</v>
      </c>
      <c r="I68" s="401" t="s">
        <v>23</v>
      </c>
      <c r="J68" s="401" t="s">
        <v>23</v>
      </c>
      <c r="K68" s="401" t="s">
        <v>23</v>
      </c>
      <c r="L68" s="401" t="s">
        <v>23</v>
      </c>
      <c r="M68" s="401" t="s">
        <v>23</v>
      </c>
      <c r="N68" s="401" t="s">
        <v>23</v>
      </c>
    </row>
    <row r="69" spans="2:14" ht="26.85" customHeight="1" x14ac:dyDescent="0.25">
      <c r="B69" s="238" t="s">
        <v>382</v>
      </c>
      <c r="C69" s="189"/>
      <c r="D69" s="251" t="s">
        <v>361</v>
      </c>
      <c r="E69" s="251"/>
      <c r="F69" s="844">
        <v>16236</v>
      </c>
      <c r="G69" s="431">
        <v>15333</v>
      </c>
      <c r="H69" s="372" t="s">
        <v>23</v>
      </c>
      <c r="I69" s="401" t="s">
        <v>23</v>
      </c>
      <c r="J69" s="401" t="s">
        <v>23</v>
      </c>
      <c r="K69" s="401" t="s">
        <v>23</v>
      </c>
      <c r="L69" s="401" t="s">
        <v>23</v>
      </c>
      <c r="M69" s="401" t="s">
        <v>23</v>
      </c>
      <c r="N69" s="401" t="s">
        <v>23</v>
      </c>
    </row>
    <row r="70" spans="2:14" ht="50.1" customHeight="1" x14ac:dyDescent="0.2">
      <c r="B70" s="83"/>
      <c r="C70" s="83"/>
      <c r="D70" s="18"/>
      <c r="E70" s="18"/>
      <c r="F70" s="18"/>
      <c r="G70" s="71"/>
      <c r="H70" s="12"/>
      <c r="I70" s="29"/>
      <c r="J70" s="29"/>
      <c r="K70" s="29"/>
      <c r="L70" s="41"/>
      <c r="M70" s="41"/>
      <c r="N70" s="95"/>
    </row>
    <row r="71" spans="2:14" ht="26.85" customHeight="1" x14ac:dyDescent="0.2">
      <c r="B71" s="6" t="s">
        <v>383</v>
      </c>
      <c r="C71" s="6"/>
      <c r="D71" s="7" t="s">
        <v>9</v>
      </c>
      <c r="E71" s="7"/>
      <c r="F71" s="8" t="s">
        <v>10</v>
      </c>
      <c r="G71" s="9" t="s">
        <v>11</v>
      </c>
      <c r="H71" s="9" t="s">
        <v>12</v>
      </c>
      <c r="I71" s="9" t="s">
        <v>13</v>
      </c>
      <c r="J71" s="9" t="s">
        <v>14</v>
      </c>
      <c r="K71" s="9" t="s">
        <v>15</v>
      </c>
      <c r="L71" s="9" t="s">
        <v>16</v>
      </c>
      <c r="M71" s="9" t="s">
        <v>17</v>
      </c>
      <c r="N71" s="9" t="s">
        <v>18</v>
      </c>
    </row>
    <row r="72" spans="2:14" ht="26.85" customHeight="1" x14ac:dyDescent="0.25">
      <c r="B72" s="234" t="s">
        <v>384</v>
      </c>
      <c r="C72" s="234"/>
      <c r="D72" s="235"/>
      <c r="E72" s="235"/>
      <c r="F72" s="236"/>
      <c r="G72" s="838"/>
      <c r="H72" s="387"/>
      <c r="I72" s="237"/>
      <c r="J72" s="237"/>
      <c r="K72" s="237"/>
      <c r="L72" s="237"/>
      <c r="M72" s="237"/>
      <c r="N72" s="237"/>
    </row>
    <row r="73" spans="2:14" ht="26.85" customHeight="1" x14ac:dyDescent="0.25">
      <c r="B73" s="355" t="s">
        <v>385</v>
      </c>
      <c r="C73" s="355"/>
      <c r="D73" s="251" t="s">
        <v>31</v>
      </c>
      <c r="E73" s="251"/>
      <c r="F73" s="848">
        <v>0.16600000000000001</v>
      </c>
      <c r="G73" s="388">
        <v>0.156</v>
      </c>
      <c r="H73" s="388">
        <v>0.13900000000000001</v>
      </c>
      <c r="I73" s="389">
        <v>0.123</v>
      </c>
      <c r="J73" s="389">
        <v>0.108</v>
      </c>
      <c r="K73" s="390">
        <v>8.8999999999999996E-2</v>
      </c>
      <c r="L73" s="390">
        <v>7.6999999999999999E-2</v>
      </c>
      <c r="M73" s="390">
        <v>6.8000000000000005E-2</v>
      </c>
      <c r="N73" s="390">
        <v>6.2E-2</v>
      </c>
    </row>
    <row r="74" spans="2:14" ht="26.85" customHeight="1" x14ac:dyDescent="0.25">
      <c r="B74" s="355" t="s">
        <v>386</v>
      </c>
      <c r="C74" s="355"/>
      <c r="D74" s="251" t="s">
        <v>31</v>
      </c>
      <c r="E74" s="251"/>
      <c r="F74" s="848">
        <v>0.155</v>
      </c>
      <c r="G74" s="388">
        <v>0.14599999999999999</v>
      </c>
      <c r="H74" s="241">
        <v>0.13</v>
      </c>
      <c r="I74" s="389">
        <v>0.115</v>
      </c>
      <c r="J74" s="389">
        <v>0.10100000000000001</v>
      </c>
      <c r="K74" s="390">
        <v>8.4000000000000005E-2</v>
      </c>
      <c r="L74" s="390">
        <v>7.1999999999999995E-2</v>
      </c>
      <c r="M74" s="390">
        <v>6.3E-2</v>
      </c>
      <c r="N74" s="390">
        <v>5.7000000000000002E-2</v>
      </c>
    </row>
    <row r="75" spans="2:14" ht="26.85" customHeight="1" x14ac:dyDescent="0.25">
      <c r="B75" s="234" t="s">
        <v>387</v>
      </c>
      <c r="C75" s="234"/>
      <c r="D75" s="235"/>
      <c r="E75" s="235"/>
      <c r="F75" s="236"/>
      <c r="G75" s="838"/>
      <c r="H75" s="387"/>
      <c r="I75" s="391"/>
      <c r="J75" s="391"/>
      <c r="K75" s="391"/>
      <c r="L75" s="391"/>
      <c r="M75" s="391"/>
      <c r="N75" s="391"/>
    </row>
    <row r="76" spans="2:14" ht="26.85" customHeight="1" x14ac:dyDescent="0.25">
      <c r="B76" s="355" t="s">
        <v>385</v>
      </c>
      <c r="C76" s="355"/>
      <c r="D76" s="251" t="s">
        <v>388</v>
      </c>
      <c r="E76" s="251"/>
      <c r="F76" s="844">
        <v>1727</v>
      </c>
      <c r="G76" s="431">
        <v>1540</v>
      </c>
      <c r="H76" s="374">
        <v>1275</v>
      </c>
      <c r="I76" s="192">
        <v>1030</v>
      </c>
      <c r="J76" s="393">
        <v>831</v>
      </c>
      <c r="K76" s="394">
        <v>590</v>
      </c>
      <c r="L76" s="394">
        <v>441</v>
      </c>
      <c r="M76" s="394">
        <v>346</v>
      </c>
      <c r="N76" s="394">
        <v>289</v>
      </c>
    </row>
    <row r="77" spans="2:14" ht="26.85" customHeight="1" x14ac:dyDescent="0.25">
      <c r="B77" s="355" t="s">
        <v>386</v>
      </c>
      <c r="C77" s="355"/>
      <c r="D77" s="251" t="s">
        <v>388</v>
      </c>
      <c r="E77" s="251"/>
      <c r="F77" s="844">
        <v>2100</v>
      </c>
      <c r="G77" s="431">
        <v>1860</v>
      </c>
      <c r="H77" s="374">
        <v>1560</v>
      </c>
      <c r="I77" s="192">
        <v>1283</v>
      </c>
      <c r="J77" s="192">
        <v>1038</v>
      </c>
      <c r="K77" s="394">
        <v>765</v>
      </c>
      <c r="L77" s="394">
        <v>576</v>
      </c>
      <c r="M77" s="394">
        <v>449</v>
      </c>
      <c r="N77" s="394">
        <v>367</v>
      </c>
    </row>
    <row r="78" spans="2:14" ht="26.85" customHeight="1" x14ac:dyDescent="0.25">
      <c r="B78" s="234" t="s">
        <v>389</v>
      </c>
      <c r="C78" s="234"/>
      <c r="D78" s="235"/>
      <c r="E78" s="235"/>
      <c r="F78" s="236"/>
      <c r="G78" s="838"/>
      <c r="H78" s="387"/>
      <c r="I78" s="391"/>
      <c r="J78" s="395"/>
      <c r="K78" s="391"/>
      <c r="L78" s="391"/>
      <c r="M78" s="391"/>
      <c r="N78" s="391"/>
    </row>
    <row r="79" spans="2:14" ht="26.85" customHeight="1" x14ac:dyDescent="0.25">
      <c r="B79" s="355" t="s">
        <v>385</v>
      </c>
      <c r="C79" s="355"/>
      <c r="D79" s="239" t="s">
        <v>390</v>
      </c>
      <c r="E79" s="239"/>
      <c r="F79" s="233">
        <v>6.4</v>
      </c>
      <c r="G79" s="833">
        <v>6.0954130038116121</v>
      </c>
      <c r="H79" s="396">
        <v>5.65</v>
      </c>
      <c r="I79" s="397">
        <v>5.24</v>
      </c>
      <c r="J79" s="397">
        <v>4.82</v>
      </c>
      <c r="K79" s="398">
        <v>4.16</v>
      </c>
      <c r="L79" s="398">
        <v>3.65</v>
      </c>
      <c r="M79" s="398">
        <v>3.29</v>
      </c>
      <c r="N79" s="398">
        <v>3.05</v>
      </c>
    </row>
    <row r="80" spans="2:14" ht="26.85" customHeight="1" x14ac:dyDescent="0.25">
      <c r="B80" s="355" t="s">
        <v>386</v>
      </c>
      <c r="C80" s="355"/>
      <c r="D80" s="239" t="s">
        <v>390</v>
      </c>
      <c r="E80" s="239"/>
      <c r="F80" s="233">
        <v>7.5</v>
      </c>
      <c r="G80" s="833">
        <v>7.0777871640905046</v>
      </c>
      <c r="H80" s="396">
        <v>6.63</v>
      </c>
      <c r="I80" s="399">
        <v>6.26</v>
      </c>
      <c r="J80" s="397">
        <v>5.77</v>
      </c>
      <c r="K80" s="398">
        <v>5.17</v>
      </c>
      <c r="L80" s="398">
        <v>4.57</v>
      </c>
      <c r="M80" s="398">
        <v>4.0999999999999996</v>
      </c>
      <c r="N80" s="398">
        <v>3.72</v>
      </c>
    </row>
    <row r="81" spans="2:14" x14ac:dyDescent="0.2">
      <c r="B81" s="98"/>
      <c r="C81" s="98"/>
      <c r="D81" s="18"/>
      <c r="E81" s="18"/>
      <c r="F81" s="18"/>
      <c r="G81" s="71"/>
      <c r="H81" s="99"/>
      <c r="I81" s="100"/>
      <c r="J81" s="72"/>
      <c r="K81" s="101"/>
      <c r="L81" s="87"/>
      <c r="M81" s="87"/>
      <c r="N81" s="87"/>
    </row>
    <row r="82" spans="2:14" x14ac:dyDescent="0.2">
      <c r="B82" s="74"/>
      <c r="C82" s="74"/>
    </row>
    <row r="83" spans="2:14" ht="15.75" x14ac:dyDescent="0.2">
      <c r="B83" s="1001"/>
      <c r="C83" s="1001"/>
      <c r="D83" s="1001"/>
      <c r="E83" s="1001"/>
      <c r="F83" s="1001"/>
      <c r="G83" s="1001"/>
      <c r="H83" s="1001"/>
      <c r="I83" s="1001"/>
      <c r="J83" s="1001"/>
      <c r="K83" s="1001"/>
      <c r="L83" s="1001"/>
      <c r="M83" s="1001"/>
      <c r="N83" s="1001"/>
    </row>
  </sheetData>
  <sheetProtection algorithmName="SHA-512" hashValue="+r/XGxoF89WrMx2x9eYQCRbXPLg/E/4/McMTsFccvnCpr627C/UE+c2qvhtKQPdvqT6u6DAnbzg3+lgPqXD/TA==" saltValue="poyWb16mQ4hjOWQVsoKXxQ==" spinCount="100000" sheet="1" objects="1" scenarios="1"/>
  <protectedRanges>
    <protectedRange algorithmName="SHA-512" hashValue="SBmVKL1PmbJO4BEGzBE2xSftKq5NiG1q1emuti/GVfceCNi5g6XOmQ1IMu3DBdkx1ZhRvUtbpcPo4ef6OYQSig==" saltValue="08oHF2zO3UoJG6Nlb1OgOA==" spinCount="100000" sqref="K28 K48:K50 K64:K67 K57:K58 K37:K40 K30:K31 K71:K82 K44" name="FY20_1_2"/>
    <protectedRange algorithmName="SHA-512" hashValue="SBmVKL1PmbJO4BEGzBE2xSftKq5NiG1q1emuti/GVfceCNi5g6XOmQ1IMu3DBdkx1ZhRvUtbpcPo4ef6OYQSig==" saltValue="08oHF2zO3UoJG6Nlb1OgOA==" spinCount="100000" sqref="J48:J50 J82 I28:J28 K32:N32 I71:J81 I68:N69 M24:N26 I44:J44 I37:J40 J57:J58 H45:I46 I33:N36 I30:J32 I48:I65 J59:N63 J51:N56 J64:J66 I67:J67 I41:N43 J45:N47" name="FY20_3_2"/>
  </protectedRanges>
  <mergeCells count="6">
    <mergeCell ref="B26:N26"/>
    <mergeCell ref="B55:N55"/>
    <mergeCell ref="B63:N63"/>
    <mergeCell ref="B83:N83"/>
    <mergeCell ref="C2:E2"/>
    <mergeCell ref="B47:N47"/>
  </mergeCells>
  <pageMargins left="0.7" right="0.7" top="0.75" bottom="0.75" header="0.3" footer="0.3"/>
  <pageSetup paperSize="9" scale="27" orientation="portrait" r:id="rId1"/>
  <headerFooter>
    <oddFooter>&amp;L_x000D_&amp;1#&amp;"Calibri"&amp;8&amp;K000000 Unclassified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35094-2B93-4955-BD48-E87B539A94CC}">
  <sheetPr codeName="Sheet14">
    <tabColor theme="4" tint="0.79998168889431442"/>
    <pageSetUpPr fitToPage="1"/>
  </sheetPr>
  <dimension ref="B1:AB79"/>
  <sheetViews>
    <sheetView showGridLines="0" zoomScale="70" zoomScaleNormal="70" workbookViewId="0">
      <selection activeCell="I31" sqref="I31"/>
    </sheetView>
  </sheetViews>
  <sheetFormatPr defaultColWidth="8.5703125" defaultRowHeight="15" x14ac:dyDescent="0.2"/>
  <cols>
    <col min="1" max="1" width="4.42578125" style="28" customWidth="1"/>
    <col min="2" max="2" width="67" style="28" customWidth="1"/>
    <col min="3" max="3" width="20.5703125" style="28" customWidth="1"/>
    <col min="4" max="4" width="8.5703125" style="15" customWidth="1"/>
    <col min="5" max="5" width="15.42578125" style="15" customWidth="1"/>
    <col min="6" max="6" width="22.85546875" style="15" customWidth="1"/>
    <col min="7" max="14" width="21.5703125" style="12" customWidth="1"/>
    <col min="15" max="16384" width="8.5703125" style="28"/>
  </cols>
  <sheetData>
    <row r="1" spans="2:14" ht="24.6" customHeight="1" x14ac:dyDescent="0.2"/>
    <row r="2" spans="2:14" ht="81" customHeight="1" x14ac:dyDescent="0.2">
      <c r="B2" s="343" t="s">
        <v>92</v>
      </c>
      <c r="C2" s="914" t="s">
        <v>391</v>
      </c>
      <c r="D2" s="914"/>
      <c r="E2" s="914"/>
      <c r="F2" s="914"/>
      <c r="G2" s="914"/>
      <c r="H2" s="914"/>
      <c r="I2" s="337"/>
      <c r="J2" s="337"/>
      <c r="K2" s="337"/>
      <c r="L2" s="337"/>
      <c r="M2" s="337"/>
      <c r="N2" s="277"/>
    </row>
    <row r="3" spans="2:14" ht="25.5" customHeight="1" x14ac:dyDescent="0.2">
      <c r="B3" s="70"/>
      <c r="C3" s="70"/>
      <c r="D3" s="98"/>
      <c r="E3" s="98"/>
      <c r="F3" s="98"/>
      <c r="G3" s="119"/>
      <c r="H3" s="21"/>
      <c r="I3" s="119"/>
      <c r="J3" s="20"/>
      <c r="K3" s="21"/>
      <c r="L3" s="21"/>
      <c r="M3" s="21"/>
      <c r="N3" s="21"/>
    </row>
    <row r="4" spans="2:14" ht="26.85" customHeight="1" x14ac:dyDescent="0.2">
      <c r="B4" s="6" t="s">
        <v>392</v>
      </c>
      <c r="C4" s="6"/>
      <c r="D4" s="7" t="s">
        <v>9</v>
      </c>
      <c r="E4" s="7"/>
      <c r="F4" s="8" t="s">
        <v>10</v>
      </c>
      <c r="G4" s="9" t="s">
        <v>11</v>
      </c>
      <c r="H4" s="9" t="s">
        <v>12</v>
      </c>
      <c r="I4" s="9" t="s">
        <v>13</v>
      </c>
      <c r="J4" s="9" t="s">
        <v>14</v>
      </c>
      <c r="K4" s="9" t="s">
        <v>15</v>
      </c>
      <c r="L4" s="9" t="s">
        <v>16</v>
      </c>
      <c r="M4" s="9" t="s">
        <v>17</v>
      </c>
      <c r="N4" s="9" t="s">
        <v>18</v>
      </c>
    </row>
    <row r="5" spans="2:14" ht="26.85" customHeight="1" x14ac:dyDescent="0.25">
      <c r="B5" s="235" t="s">
        <v>393</v>
      </c>
      <c r="C5" s="235"/>
      <c r="D5" s="251"/>
      <c r="E5" s="251"/>
      <c r="F5" s="820"/>
      <c r="G5" s="433"/>
      <c r="H5" s="181"/>
      <c r="I5" s="244"/>
      <c r="J5" s="199"/>
      <c r="K5" s="244"/>
      <c r="L5" s="244"/>
      <c r="M5" s="244"/>
      <c r="N5" s="244"/>
    </row>
    <row r="6" spans="2:14" ht="26.85" customHeight="1" x14ac:dyDescent="0.25">
      <c r="B6" s="350" t="s">
        <v>394</v>
      </c>
      <c r="C6" s="357"/>
      <c r="D6" s="251" t="s">
        <v>395</v>
      </c>
      <c r="E6" s="251"/>
      <c r="F6" s="794">
        <v>577780</v>
      </c>
      <c r="G6" s="620">
        <f>SUM(G10+G18)</f>
        <v>631419.2145</v>
      </c>
      <c r="H6" s="192">
        <f>H10+H18</f>
        <v>667525.29321084998</v>
      </c>
      <c r="I6" s="192">
        <f>SUM(I10,I18)</f>
        <v>748778.77520316723</v>
      </c>
      <c r="J6" s="192">
        <f t="shared" ref="J6:N6" si="0">SUM(J10,J18)</f>
        <v>804015</v>
      </c>
      <c r="K6" s="192">
        <f>SUM(K10,K18)</f>
        <v>811969</v>
      </c>
      <c r="L6" s="192">
        <f t="shared" si="0"/>
        <v>847132</v>
      </c>
      <c r="M6" s="192">
        <f t="shared" si="0"/>
        <v>918523</v>
      </c>
      <c r="N6" s="192">
        <f t="shared" si="0"/>
        <v>921693</v>
      </c>
    </row>
    <row r="7" spans="2:14" ht="26.85" customHeight="1" x14ac:dyDescent="0.25">
      <c r="B7" s="256" t="s">
        <v>396</v>
      </c>
      <c r="C7" s="256"/>
      <c r="D7" s="193" t="s">
        <v>31</v>
      </c>
      <c r="E7" s="193"/>
      <c r="F7" s="602">
        <f>F6/$K$6-1</f>
        <v>-0.28842110967290624</v>
      </c>
      <c r="G7" s="608">
        <f>G6/$K$6-1</f>
        <v>-0.22236044171637093</v>
      </c>
      <c r="H7" s="608">
        <f>H6/$K$6-1</f>
        <v>-0.17789312989676953</v>
      </c>
      <c r="I7" s="608">
        <f>I6/$K$6-1</f>
        <v>-7.7823444979836398E-2</v>
      </c>
      <c r="J7" s="608">
        <f>J6/$K$6-1</f>
        <v>-9.7959404854126575E-3</v>
      </c>
      <c r="K7" s="197" t="s">
        <v>23</v>
      </c>
      <c r="L7" s="197" t="s">
        <v>23</v>
      </c>
      <c r="M7" s="197" t="s">
        <v>23</v>
      </c>
      <c r="N7" s="197" t="s">
        <v>23</v>
      </c>
    </row>
    <row r="8" spans="2:14" ht="26.85" customHeight="1" x14ac:dyDescent="0.25">
      <c r="B8" s="355" t="s">
        <v>397</v>
      </c>
      <c r="C8" s="355"/>
      <c r="D8" s="251" t="s">
        <v>395</v>
      </c>
      <c r="E8" s="251"/>
      <c r="F8" s="794">
        <f>F6+F26</f>
        <v>946779</v>
      </c>
      <c r="G8" s="620">
        <f>G6+G26</f>
        <v>1000418.2145</v>
      </c>
      <c r="H8" s="192">
        <f>H6+H26</f>
        <v>1036524.29321085</v>
      </c>
      <c r="I8" s="192">
        <f>I6+I26</f>
        <v>1117777.7752031672</v>
      </c>
      <c r="J8" s="192">
        <f>J6+J26</f>
        <v>1173014</v>
      </c>
      <c r="K8" s="374">
        <f>K6+K43</f>
        <v>915011</v>
      </c>
      <c r="L8" s="374">
        <f>L6+L43</f>
        <v>959899</v>
      </c>
      <c r="M8" s="374">
        <f>M6+M43</f>
        <v>1034927</v>
      </c>
      <c r="N8" s="374">
        <f>N6+N43</f>
        <v>1037443</v>
      </c>
    </row>
    <row r="9" spans="2:14" ht="26.85" customHeight="1" x14ac:dyDescent="0.25">
      <c r="B9" s="235" t="s">
        <v>398</v>
      </c>
      <c r="C9" s="235"/>
      <c r="D9" s="251"/>
      <c r="E9" s="251"/>
      <c r="F9" s="820"/>
      <c r="G9" s="433"/>
      <c r="H9" s="244"/>
      <c r="I9" s="257"/>
      <c r="J9" s="199"/>
      <c r="K9" s="244"/>
      <c r="L9" s="244"/>
      <c r="M9" s="244"/>
      <c r="N9" s="244"/>
    </row>
    <row r="10" spans="2:14" ht="26.85" customHeight="1" x14ac:dyDescent="0.25">
      <c r="B10" s="357" t="s">
        <v>399</v>
      </c>
      <c r="C10" s="357"/>
      <c r="D10" s="251" t="s">
        <v>395</v>
      </c>
      <c r="E10" s="251"/>
      <c r="F10" s="794">
        <f>SUM(F13:F16)</f>
        <v>11348.58</v>
      </c>
      <c r="G10" s="620">
        <f>SUM(G13:G16)</f>
        <v>13268.2145</v>
      </c>
      <c r="H10" s="192">
        <f>SUM(H13:H16)</f>
        <v>11113.393236471653</v>
      </c>
      <c r="I10" s="192">
        <f>SUM(I13:I16)</f>
        <v>22527.384642037607</v>
      </c>
      <c r="J10" s="192">
        <f t="shared" ref="J10:N10" si="1">SUM(J13:J16)</f>
        <v>22768</v>
      </c>
      <c r="K10" s="192">
        <f t="shared" si="1"/>
        <v>22277</v>
      </c>
      <c r="L10" s="192">
        <f t="shared" si="1"/>
        <v>23163</v>
      </c>
      <c r="M10" s="192">
        <f t="shared" si="1"/>
        <v>22374</v>
      </c>
      <c r="N10" s="192">
        <f t="shared" si="1"/>
        <v>23047</v>
      </c>
    </row>
    <row r="11" spans="2:14" ht="26.85" customHeight="1" x14ac:dyDescent="0.25">
      <c r="B11" s="357" t="s">
        <v>400</v>
      </c>
      <c r="C11" s="357"/>
      <c r="D11" s="193" t="s">
        <v>31</v>
      </c>
      <c r="E11" s="251"/>
      <c r="F11" s="855">
        <f>F10/$K$10-1</f>
        <v>-0.49056964582304619</v>
      </c>
      <c r="G11" s="834">
        <f>G10/$K$10-1</f>
        <v>-0.40439850518471965</v>
      </c>
      <c r="H11" s="663">
        <f>H10/$K$10-1</f>
        <v>-0.50112702623909633</v>
      </c>
      <c r="I11" s="383">
        <f>I10/$K$10-1</f>
        <v>1.1239603269632692E-2</v>
      </c>
      <c r="J11" s="383">
        <f>J10/$K$10-1</f>
        <v>2.2040669749068487E-2</v>
      </c>
      <c r="K11" s="197" t="s">
        <v>23</v>
      </c>
      <c r="L11" s="197" t="s">
        <v>23</v>
      </c>
      <c r="M11" s="197" t="s">
        <v>23</v>
      </c>
      <c r="N11" s="197" t="s">
        <v>23</v>
      </c>
    </row>
    <row r="12" spans="2:14" ht="26.85" customHeight="1" x14ac:dyDescent="0.25">
      <c r="B12" s="235" t="s">
        <v>401</v>
      </c>
      <c r="C12" s="235"/>
      <c r="D12" s="251"/>
      <c r="E12" s="251"/>
      <c r="F12" s="820"/>
      <c r="G12" s="849"/>
      <c r="H12" s="244"/>
      <c r="I12" s="426"/>
      <c r="J12" s="249"/>
      <c r="K12" s="257"/>
      <c r="L12" s="257"/>
      <c r="M12" s="257"/>
      <c r="N12" s="257"/>
    </row>
    <row r="13" spans="2:14" ht="26.85" customHeight="1" x14ac:dyDescent="0.25">
      <c r="B13" s="357" t="s">
        <v>402</v>
      </c>
      <c r="C13" s="357"/>
      <c r="D13" s="251" t="s">
        <v>395</v>
      </c>
      <c r="E13" s="251"/>
      <c r="F13" s="794">
        <v>225</v>
      </c>
      <c r="G13" s="620">
        <v>228</v>
      </c>
      <c r="H13" s="419">
        <v>172.33856507981699</v>
      </c>
      <c r="I13" s="425">
        <v>234</v>
      </c>
      <c r="J13" s="425">
        <v>226</v>
      </c>
      <c r="K13" s="425">
        <v>187</v>
      </c>
      <c r="L13" s="425">
        <v>428</v>
      </c>
      <c r="M13" s="425">
        <v>414</v>
      </c>
      <c r="N13" s="425">
        <v>335</v>
      </c>
    </row>
    <row r="14" spans="2:14" ht="26.85" customHeight="1" x14ac:dyDescent="0.25">
      <c r="B14" s="357" t="s">
        <v>403</v>
      </c>
      <c r="C14" s="357"/>
      <c r="D14" s="251" t="s">
        <v>395</v>
      </c>
      <c r="E14" s="251"/>
      <c r="F14" s="794">
        <v>8186</v>
      </c>
      <c r="G14" s="620">
        <v>8883</v>
      </c>
      <c r="H14" s="192">
        <v>8568.2881735211631</v>
      </c>
      <c r="I14" s="192">
        <v>8178.4953962179343</v>
      </c>
      <c r="J14" s="192">
        <v>8665</v>
      </c>
      <c r="K14" s="192">
        <v>8941</v>
      </c>
      <c r="L14" s="192">
        <v>9703</v>
      </c>
      <c r="M14" s="192">
        <v>9007</v>
      </c>
      <c r="N14" s="192">
        <v>10474</v>
      </c>
    </row>
    <row r="15" spans="2:14" ht="26.85" customHeight="1" x14ac:dyDescent="0.25">
      <c r="B15" s="357" t="s">
        <v>404</v>
      </c>
      <c r="C15" s="357"/>
      <c r="D15" s="251" t="s">
        <v>395</v>
      </c>
      <c r="E15" s="251"/>
      <c r="F15" s="794">
        <f>122.28*23.5</f>
        <v>2873.58</v>
      </c>
      <c r="G15" s="620">
        <f>174.307*23.5</f>
        <v>4096.2145</v>
      </c>
      <c r="H15" s="192">
        <v>2305.35</v>
      </c>
      <c r="I15" s="192">
        <v>14049.023799999999</v>
      </c>
      <c r="J15" s="192">
        <v>13804</v>
      </c>
      <c r="K15" s="192">
        <v>13088</v>
      </c>
      <c r="L15" s="192">
        <v>12987</v>
      </c>
      <c r="M15" s="192">
        <v>12829</v>
      </c>
      <c r="N15" s="192">
        <v>12068</v>
      </c>
    </row>
    <row r="16" spans="2:14" ht="26.85" customHeight="1" x14ac:dyDescent="0.25">
      <c r="B16" s="357" t="s">
        <v>101</v>
      </c>
      <c r="C16" s="357"/>
      <c r="D16" s="251" t="s">
        <v>395</v>
      </c>
      <c r="E16" s="251"/>
      <c r="F16" s="794">
        <v>64</v>
      </c>
      <c r="G16" s="620">
        <v>61</v>
      </c>
      <c r="H16" s="419">
        <v>67.416497870672757</v>
      </c>
      <c r="I16" s="425">
        <v>65.865445819672132</v>
      </c>
      <c r="J16" s="425">
        <v>73</v>
      </c>
      <c r="K16" s="425">
        <v>61</v>
      </c>
      <c r="L16" s="425">
        <v>45</v>
      </c>
      <c r="M16" s="425">
        <v>124</v>
      </c>
      <c r="N16" s="425">
        <v>170</v>
      </c>
    </row>
    <row r="17" spans="2:14" ht="26.85" customHeight="1" x14ac:dyDescent="0.25">
      <c r="B17" s="246" t="s">
        <v>405</v>
      </c>
      <c r="C17" s="235"/>
      <c r="D17" s="251"/>
      <c r="E17" s="251"/>
      <c r="F17" s="820"/>
      <c r="G17" s="433"/>
      <c r="H17" s="244"/>
      <c r="I17" s="426"/>
      <c r="J17" s="199"/>
      <c r="K17" s="244"/>
      <c r="L17" s="244"/>
      <c r="M17" s="244"/>
      <c r="N17" s="244"/>
    </row>
    <row r="18" spans="2:14" ht="26.85" customHeight="1" x14ac:dyDescent="0.25">
      <c r="B18" s="350" t="s">
        <v>405</v>
      </c>
      <c r="C18" s="357"/>
      <c r="D18" s="251" t="s">
        <v>395</v>
      </c>
      <c r="E18" s="251"/>
      <c r="F18" s="794">
        <f>SUM(F21:F22)</f>
        <v>566431</v>
      </c>
      <c r="G18" s="620">
        <f>SUM(G21:G22)</f>
        <v>618151</v>
      </c>
      <c r="H18" s="192">
        <f>SUM(H21:H22)</f>
        <v>656411.89997437829</v>
      </c>
      <c r="I18" s="192">
        <f>SUM(I21:I22)</f>
        <v>726251.39056112967</v>
      </c>
      <c r="J18" s="192">
        <f t="shared" ref="J18:N18" si="2">SUM(J21:J22)</f>
        <v>781247</v>
      </c>
      <c r="K18" s="192">
        <f>SUM(K21:K22)</f>
        <v>789692</v>
      </c>
      <c r="L18" s="192">
        <f t="shared" si="2"/>
        <v>823969</v>
      </c>
      <c r="M18" s="192">
        <f t="shared" si="2"/>
        <v>896149</v>
      </c>
      <c r="N18" s="192">
        <f t="shared" si="2"/>
        <v>898646</v>
      </c>
    </row>
    <row r="19" spans="2:14" ht="26.85" customHeight="1" x14ac:dyDescent="0.25">
      <c r="B19" s="357" t="s">
        <v>406</v>
      </c>
      <c r="C19" s="357"/>
      <c r="D19" s="252" t="s">
        <v>31</v>
      </c>
      <c r="E19" s="251"/>
      <c r="F19" s="855">
        <f>F18/$K$18-1</f>
        <v>-0.28271908541557977</v>
      </c>
      <c r="G19" s="834">
        <f>G18/$K$18-1</f>
        <v>-0.21722519665895057</v>
      </c>
      <c r="H19" s="608">
        <f>H18/$K$18-1</f>
        <v>-0.16877478817769676</v>
      </c>
      <c r="I19" s="608">
        <f>I18/$K$18-1</f>
        <v>-8.0335889737860211E-2</v>
      </c>
      <c r="J19" s="608">
        <f>J18/$K$18-1</f>
        <v>-1.069404274071406E-2</v>
      </c>
      <c r="K19" s="197" t="s">
        <v>23</v>
      </c>
      <c r="L19" s="197" t="s">
        <v>23</v>
      </c>
      <c r="M19" s="197" t="s">
        <v>23</v>
      </c>
      <c r="N19" s="197" t="s">
        <v>23</v>
      </c>
    </row>
    <row r="20" spans="2:14" ht="26.85" customHeight="1" x14ac:dyDescent="0.25">
      <c r="B20" s="235" t="s">
        <v>407</v>
      </c>
      <c r="C20" s="235"/>
      <c r="D20" s="251"/>
      <c r="E20" s="251"/>
      <c r="F20" s="820"/>
      <c r="G20" s="849"/>
      <c r="H20" s="422"/>
      <c r="I20" s="426"/>
      <c r="J20" s="249"/>
      <c r="K20" s="257"/>
      <c r="L20" s="244"/>
      <c r="M20" s="257"/>
      <c r="N20" s="257"/>
    </row>
    <row r="21" spans="2:14" ht="26.85" customHeight="1" x14ac:dyDescent="0.25">
      <c r="B21" s="357" t="s">
        <v>408</v>
      </c>
      <c r="C21" s="357"/>
      <c r="D21" s="251" t="s">
        <v>395</v>
      </c>
      <c r="E21" s="251"/>
      <c r="F21" s="794">
        <v>8541</v>
      </c>
      <c r="G21" s="620">
        <v>8882</v>
      </c>
      <c r="H21" s="192">
        <v>9485.0642424736325</v>
      </c>
      <c r="I21" s="192">
        <v>10489.390561129645</v>
      </c>
      <c r="J21" s="192">
        <v>10847</v>
      </c>
      <c r="K21" s="192">
        <v>11146</v>
      </c>
      <c r="L21" s="192">
        <v>15403</v>
      </c>
      <c r="M21" s="192">
        <v>18246</v>
      </c>
      <c r="N21" s="192">
        <v>19241</v>
      </c>
    </row>
    <row r="22" spans="2:14" ht="26.85" customHeight="1" x14ac:dyDescent="0.25">
      <c r="B22" s="357" t="s">
        <v>409</v>
      </c>
      <c r="C22" s="357"/>
      <c r="D22" s="251" t="s">
        <v>395</v>
      </c>
      <c r="E22" s="251"/>
      <c r="F22" s="794">
        <v>557890</v>
      </c>
      <c r="G22" s="620">
        <v>609269</v>
      </c>
      <c r="H22" s="192">
        <v>646926.8357319046</v>
      </c>
      <c r="I22" s="192">
        <v>715762</v>
      </c>
      <c r="J22" s="192">
        <v>770400</v>
      </c>
      <c r="K22" s="192">
        <v>778546</v>
      </c>
      <c r="L22" s="192">
        <v>808566</v>
      </c>
      <c r="M22" s="192">
        <v>877903</v>
      </c>
      <c r="N22" s="192">
        <v>879405</v>
      </c>
    </row>
    <row r="23" spans="2:14" ht="26.85" customHeight="1" x14ac:dyDescent="0.25">
      <c r="B23" s="358" t="s">
        <v>409</v>
      </c>
      <c r="C23" s="348"/>
      <c r="D23" s="251" t="s">
        <v>410</v>
      </c>
      <c r="E23" s="251"/>
      <c r="F23" s="794">
        <f>845287192*0.0036</f>
        <v>3043033.8912</v>
      </c>
      <c r="G23" s="620">
        <v>3225542</v>
      </c>
      <c r="H23" s="620">
        <f t="shared" ref="H23:N23" si="3">H22*1000/H61*0.0036</f>
        <v>3190324.1214176118</v>
      </c>
      <c r="I23" s="620">
        <f t="shared" si="3"/>
        <v>3261700.2531645568</v>
      </c>
      <c r="J23" s="620">
        <f t="shared" si="3"/>
        <v>3423999.9999999995</v>
      </c>
      <c r="K23" s="620">
        <f t="shared" si="3"/>
        <v>3460204.4444444445</v>
      </c>
      <c r="L23" s="620">
        <f t="shared" si="3"/>
        <v>3549801.9512195121</v>
      </c>
      <c r="M23" s="620">
        <f t="shared" si="3"/>
        <v>3807772.0481927712</v>
      </c>
      <c r="N23" s="620">
        <f t="shared" si="3"/>
        <v>3768878.5714285714</v>
      </c>
    </row>
    <row r="24" spans="2:14" ht="26.85" customHeight="1" x14ac:dyDescent="0.25">
      <c r="B24" s="358" t="s">
        <v>411</v>
      </c>
      <c r="C24" s="358"/>
      <c r="D24" s="252" t="s">
        <v>31</v>
      </c>
      <c r="E24" s="252"/>
      <c r="F24" s="856">
        <v>3.4000000000000002E-2</v>
      </c>
      <c r="G24" s="850">
        <v>3.5400000000000001E-2</v>
      </c>
      <c r="H24" s="381">
        <v>3.4799999999999998E-2</v>
      </c>
      <c r="I24" s="428">
        <v>3.6136364573432847E-2</v>
      </c>
      <c r="J24" s="429">
        <v>3.6999999999999998E-2</v>
      </c>
      <c r="K24" s="386">
        <v>3.6999999999999998E-2</v>
      </c>
      <c r="L24" s="386">
        <v>3.6999999999999998E-2</v>
      </c>
      <c r="M24" s="432">
        <v>0.04</v>
      </c>
      <c r="N24" s="386">
        <v>3.9E-2</v>
      </c>
    </row>
    <row r="25" spans="2:14" ht="26.85" customHeight="1" x14ac:dyDescent="0.25">
      <c r="B25" s="235" t="s">
        <v>412</v>
      </c>
      <c r="C25" s="235"/>
      <c r="D25" s="251"/>
      <c r="E25" s="251"/>
      <c r="F25" s="820"/>
      <c r="G25" s="433"/>
      <c r="H25" s="422"/>
      <c r="I25" s="257"/>
      <c r="J25" s="249"/>
      <c r="K25" s="257"/>
      <c r="L25" s="257"/>
      <c r="M25" s="257"/>
      <c r="N25" s="257"/>
    </row>
    <row r="26" spans="2:14" ht="26.85" customHeight="1" x14ac:dyDescent="0.25">
      <c r="B26" s="357" t="s">
        <v>413</v>
      </c>
      <c r="C26" s="357"/>
      <c r="D26" s="251" t="s">
        <v>395</v>
      </c>
      <c r="E26" s="251"/>
      <c r="F26" s="794">
        <v>368999</v>
      </c>
      <c r="G26" s="620">
        <v>368999</v>
      </c>
      <c r="H26" s="407">
        <v>368999</v>
      </c>
      <c r="I26" s="407">
        <v>368999</v>
      </c>
      <c r="J26" s="407">
        <f>SUM(J28:J42)</f>
        <v>368999</v>
      </c>
      <c r="K26" s="197" t="s">
        <v>23</v>
      </c>
      <c r="L26" s="197" t="s">
        <v>23</v>
      </c>
      <c r="M26" s="197" t="s">
        <v>23</v>
      </c>
      <c r="N26" s="197" t="s">
        <v>23</v>
      </c>
    </row>
    <row r="27" spans="2:14" ht="26.85" customHeight="1" x14ac:dyDescent="0.25">
      <c r="B27" s="231" t="s">
        <v>414</v>
      </c>
      <c r="C27" s="231"/>
      <c r="D27" s="251"/>
      <c r="E27" s="251"/>
      <c r="F27" s="820"/>
      <c r="G27" s="433"/>
      <c r="H27" s="244"/>
      <c r="I27" s="257"/>
      <c r="J27" s="249"/>
      <c r="K27" s="257"/>
      <c r="L27" s="257"/>
      <c r="M27" s="257"/>
      <c r="N27" s="257"/>
    </row>
    <row r="28" spans="2:14" ht="26.85" customHeight="1" x14ac:dyDescent="0.25">
      <c r="B28" s="345" t="s">
        <v>415</v>
      </c>
      <c r="C28" s="345"/>
      <c r="D28" s="251" t="s">
        <v>395</v>
      </c>
      <c r="E28" s="251"/>
      <c r="F28" s="857" t="s">
        <v>219</v>
      </c>
      <c r="G28" s="851" t="s">
        <v>219</v>
      </c>
      <c r="H28" s="407" t="s">
        <v>219</v>
      </c>
      <c r="I28" s="407" t="s">
        <v>219</v>
      </c>
      <c r="J28" s="192">
        <v>16147</v>
      </c>
      <c r="K28" s="197" t="s">
        <v>23</v>
      </c>
      <c r="L28" s="197" t="s">
        <v>23</v>
      </c>
      <c r="M28" s="197" t="s">
        <v>23</v>
      </c>
      <c r="N28" s="197" t="s">
        <v>23</v>
      </c>
    </row>
    <row r="29" spans="2:14" ht="26.85" customHeight="1" x14ac:dyDescent="0.25">
      <c r="B29" s="345" t="s">
        <v>416</v>
      </c>
      <c r="C29" s="345"/>
      <c r="D29" s="251" t="s">
        <v>395</v>
      </c>
      <c r="E29" s="251"/>
      <c r="F29" s="857" t="s">
        <v>219</v>
      </c>
      <c r="G29" s="851" t="s">
        <v>219</v>
      </c>
      <c r="H29" s="407" t="s">
        <v>219</v>
      </c>
      <c r="I29" s="407" t="s">
        <v>219</v>
      </c>
      <c r="J29" s="192">
        <v>188478</v>
      </c>
      <c r="K29" s="197" t="s">
        <v>23</v>
      </c>
      <c r="L29" s="197" t="s">
        <v>23</v>
      </c>
      <c r="M29" s="197" t="s">
        <v>23</v>
      </c>
      <c r="N29" s="197" t="s">
        <v>23</v>
      </c>
    </row>
    <row r="30" spans="2:14" ht="26.85" customHeight="1" x14ac:dyDescent="0.25">
      <c r="B30" s="345" t="s">
        <v>417</v>
      </c>
      <c r="C30" s="345"/>
      <c r="D30" s="251" t="s">
        <v>395</v>
      </c>
      <c r="E30" s="251"/>
      <c r="F30" s="857" t="s">
        <v>219</v>
      </c>
      <c r="G30" s="851" t="s">
        <v>219</v>
      </c>
      <c r="H30" s="407" t="s">
        <v>219</v>
      </c>
      <c r="I30" s="407" t="s">
        <v>219</v>
      </c>
      <c r="J30" s="192">
        <v>158450</v>
      </c>
      <c r="K30" s="197" t="s">
        <v>23</v>
      </c>
      <c r="L30" s="197" t="s">
        <v>23</v>
      </c>
      <c r="M30" s="197" t="s">
        <v>23</v>
      </c>
      <c r="N30" s="197" t="s">
        <v>23</v>
      </c>
    </row>
    <row r="31" spans="2:14" ht="26.85" customHeight="1" x14ac:dyDescent="0.25">
      <c r="B31" s="345" t="s">
        <v>418</v>
      </c>
      <c r="C31" s="345"/>
      <c r="D31" s="251" t="s">
        <v>395</v>
      </c>
      <c r="E31" s="251"/>
      <c r="F31" s="857" t="s">
        <v>419</v>
      </c>
      <c r="G31" s="851" t="s">
        <v>419</v>
      </c>
      <c r="H31" s="407" t="s">
        <v>419</v>
      </c>
      <c r="I31" s="407" t="s">
        <v>419</v>
      </c>
      <c r="J31" s="407" t="s">
        <v>419</v>
      </c>
      <c r="K31" s="197" t="s">
        <v>23</v>
      </c>
      <c r="L31" s="197" t="s">
        <v>23</v>
      </c>
      <c r="M31" s="197" t="s">
        <v>23</v>
      </c>
      <c r="N31" s="197" t="s">
        <v>23</v>
      </c>
    </row>
    <row r="32" spans="2:14" ht="26.85" customHeight="1" x14ac:dyDescent="0.25">
      <c r="B32" s="345" t="s">
        <v>420</v>
      </c>
      <c r="C32" s="345"/>
      <c r="D32" s="251" t="s">
        <v>395</v>
      </c>
      <c r="E32" s="251"/>
      <c r="F32" s="857" t="s">
        <v>219</v>
      </c>
      <c r="G32" s="851" t="s">
        <v>219</v>
      </c>
      <c r="H32" s="407" t="s">
        <v>219</v>
      </c>
      <c r="I32" s="407" t="s">
        <v>219</v>
      </c>
      <c r="J32" s="374">
        <v>4039</v>
      </c>
      <c r="K32" s="197" t="s">
        <v>23</v>
      </c>
      <c r="L32" s="197" t="s">
        <v>23</v>
      </c>
      <c r="M32" s="197" t="s">
        <v>23</v>
      </c>
      <c r="N32" s="197" t="s">
        <v>23</v>
      </c>
    </row>
    <row r="33" spans="2:14" ht="26.85" customHeight="1" x14ac:dyDescent="0.25">
      <c r="B33" s="345" t="s">
        <v>421</v>
      </c>
      <c r="C33" s="345"/>
      <c r="D33" s="251" t="s">
        <v>395</v>
      </c>
      <c r="E33" s="251"/>
      <c r="F33" s="857" t="s">
        <v>219</v>
      </c>
      <c r="G33" s="851" t="s">
        <v>219</v>
      </c>
      <c r="H33" s="407" t="s">
        <v>219</v>
      </c>
      <c r="I33" s="407" t="s">
        <v>219</v>
      </c>
      <c r="J33" s="423">
        <v>110</v>
      </c>
      <c r="K33" s="197" t="s">
        <v>23</v>
      </c>
      <c r="L33" s="197" t="s">
        <v>23</v>
      </c>
      <c r="M33" s="197" t="s">
        <v>23</v>
      </c>
      <c r="N33" s="197" t="s">
        <v>23</v>
      </c>
    </row>
    <row r="34" spans="2:14" ht="26.85" customHeight="1" x14ac:dyDescent="0.25">
      <c r="B34" s="345" t="s">
        <v>422</v>
      </c>
      <c r="C34" s="345"/>
      <c r="D34" s="251" t="s">
        <v>395</v>
      </c>
      <c r="E34" s="251"/>
      <c r="F34" s="809" t="s">
        <v>219</v>
      </c>
      <c r="G34" s="431" t="s">
        <v>219</v>
      </c>
      <c r="H34" s="407" t="s">
        <v>219</v>
      </c>
      <c r="I34" s="407" t="s">
        <v>219</v>
      </c>
      <c r="J34" s="192">
        <v>1775</v>
      </c>
      <c r="K34" s="197" t="s">
        <v>23</v>
      </c>
      <c r="L34" s="197" t="s">
        <v>23</v>
      </c>
      <c r="M34" s="197" t="s">
        <v>23</v>
      </c>
      <c r="N34" s="197" t="s">
        <v>23</v>
      </c>
    </row>
    <row r="35" spans="2:14" ht="26.85" customHeight="1" x14ac:dyDescent="0.25">
      <c r="B35" s="345" t="s">
        <v>423</v>
      </c>
      <c r="C35" s="345"/>
      <c r="D35" s="251" t="s">
        <v>395</v>
      </c>
      <c r="E35" s="251"/>
      <c r="F35" s="809" t="s">
        <v>424</v>
      </c>
      <c r="G35" s="431" t="s">
        <v>424</v>
      </c>
      <c r="H35" s="407" t="s">
        <v>424</v>
      </c>
      <c r="I35" s="407" t="s">
        <v>424</v>
      </c>
      <c r="J35" s="407" t="s">
        <v>424</v>
      </c>
      <c r="K35" s="197" t="s">
        <v>23</v>
      </c>
      <c r="L35" s="197" t="s">
        <v>23</v>
      </c>
      <c r="M35" s="197" t="s">
        <v>23</v>
      </c>
      <c r="N35" s="197" t="s">
        <v>23</v>
      </c>
    </row>
    <row r="36" spans="2:14" ht="26.85" customHeight="1" x14ac:dyDescent="0.25">
      <c r="B36" s="345" t="s">
        <v>425</v>
      </c>
      <c r="C36" s="345"/>
      <c r="D36" s="251" t="s">
        <v>395</v>
      </c>
      <c r="E36" s="251"/>
      <c r="F36" s="809" t="s">
        <v>424</v>
      </c>
      <c r="G36" s="431" t="s">
        <v>424</v>
      </c>
      <c r="H36" s="407" t="s">
        <v>424</v>
      </c>
      <c r="I36" s="407" t="s">
        <v>424</v>
      </c>
      <c r="J36" s="407" t="s">
        <v>424</v>
      </c>
      <c r="K36" s="197" t="s">
        <v>23</v>
      </c>
      <c r="L36" s="197" t="s">
        <v>23</v>
      </c>
      <c r="M36" s="197" t="s">
        <v>23</v>
      </c>
      <c r="N36" s="197" t="s">
        <v>23</v>
      </c>
    </row>
    <row r="37" spans="2:14" ht="26.85" customHeight="1" x14ac:dyDescent="0.25">
      <c r="B37" s="345" t="s">
        <v>426</v>
      </c>
      <c r="C37" s="345"/>
      <c r="D37" s="251" t="s">
        <v>395</v>
      </c>
      <c r="E37" s="251"/>
      <c r="F37" s="809" t="s">
        <v>424</v>
      </c>
      <c r="G37" s="431" t="s">
        <v>424</v>
      </c>
      <c r="H37" s="407" t="s">
        <v>424</v>
      </c>
      <c r="I37" s="407" t="s">
        <v>424</v>
      </c>
      <c r="J37" s="407" t="s">
        <v>424</v>
      </c>
      <c r="K37" s="197" t="s">
        <v>23</v>
      </c>
      <c r="L37" s="197" t="s">
        <v>23</v>
      </c>
      <c r="M37" s="197" t="s">
        <v>23</v>
      </c>
      <c r="N37" s="197" t="s">
        <v>23</v>
      </c>
    </row>
    <row r="38" spans="2:14" ht="26.85" customHeight="1" x14ac:dyDescent="0.25">
      <c r="B38" s="345" t="s">
        <v>427</v>
      </c>
      <c r="C38" s="345"/>
      <c r="D38" s="251" t="s">
        <v>395</v>
      </c>
      <c r="E38" s="251"/>
      <c r="F38" s="809" t="s">
        <v>424</v>
      </c>
      <c r="G38" s="431" t="s">
        <v>424</v>
      </c>
      <c r="H38" s="407" t="s">
        <v>424</v>
      </c>
      <c r="I38" s="407" t="s">
        <v>424</v>
      </c>
      <c r="J38" s="407" t="s">
        <v>424</v>
      </c>
      <c r="K38" s="197" t="s">
        <v>23</v>
      </c>
      <c r="L38" s="197" t="s">
        <v>23</v>
      </c>
      <c r="M38" s="197" t="s">
        <v>23</v>
      </c>
      <c r="N38" s="197" t="s">
        <v>23</v>
      </c>
    </row>
    <row r="39" spans="2:14" ht="26.85" customHeight="1" x14ac:dyDescent="0.25">
      <c r="B39" s="345" t="s">
        <v>428</v>
      </c>
      <c r="C39" s="345"/>
      <c r="D39" s="251" t="s">
        <v>395</v>
      </c>
      <c r="E39" s="251"/>
      <c r="F39" s="809" t="s">
        <v>424</v>
      </c>
      <c r="G39" s="431" t="s">
        <v>424</v>
      </c>
      <c r="H39" s="407" t="s">
        <v>424</v>
      </c>
      <c r="I39" s="407" t="s">
        <v>424</v>
      </c>
      <c r="J39" s="407" t="s">
        <v>424</v>
      </c>
      <c r="K39" s="197" t="s">
        <v>23</v>
      </c>
      <c r="L39" s="197" t="s">
        <v>23</v>
      </c>
      <c r="M39" s="197" t="s">
        <v>23</v>
      </c>
      <c r="N39" s="197" t="s">
        <v>23</v>
      </c>
    </row>
    <row r="40" spans="2:14" ht="26.85" customHeight="1" x14ac:dyDescent="0.25">
      <c r="B40" s="345" t="s">
        <v>429</v>
      </c>
      <c r="C40" s="345"/>
      <c r="D40" s="251" t="s">
        <v>395</v>
      </c>
      <c r="E40" s="251"/>
      <c r="F40" s="809" t="s">
        <v>424</v>
      </c>
      <c r="G40" s="431" t="s">
        <v>424</v>
      </c>
      <c r="H40" s="407" t="s">
        <v>424</v>
      </c>
      <c r="I40" s="407" t="s">
        <v>424</v>
      </c>
      <c r="J40" s="407" t="s">
        <v>424</v>
      </c>
      <c r="K40" s="197" t="s">
        <v>23</v>
      </c>
      <c r="L40" s="197" t="s">
        <v>23</v>
      </c>
      <c r="M40" s="197" t="s">
        <v>23</v>
      </c>
      <c r="N40" s="197" t="s">
        <v>23</v>
      </c>
    </row>
    <row r="41" spans="2:14" ht="26.85" customHeight="1" x14ac:dyDescent="0.25">
      <c r="B41" s="345" t="s">
        <v>430</v>
      </c>
      <c r="C41" s="345"/>
      <c r="D41" s="251" t="s">
        <v>395</v>
      </c>
      <c r="E41" s="251"/>
      <c r="F41" s="809" t="s">
        <v>424</v>
      </c>
      <c r="G41" s="431" t="s">
        <v>424</v>
      </c>
      <c r="H41" s="407" t="s">
        <v>424</v>
      </c>
      <c r="I41" s="407" t="s">
        <v>424</v>
      </c>
      <c r="J41" s="407" t="s">
        <v>424</v>
      </c>
      <c r="K41" s="197" t="s">
        <v>23</v>
      </c>
      <c r="L41" s="197" t="s">
        <v>23</v>
      </c>
      <c r="M41" s="197" t="s">
        <v>23</v>
      </c>
      <c r="N41" s="197" t="s">
        <v>23</v>
      </c>
    </row>
    <row r="42" spans="2:14" ht="26.85" customHeight="1" x14ac:dyDescent="0.25">
      <c r="B42" s="345" t="s">
        <v>431</v>
      </c>
      <c r="C42" s="345"/>
      <c r="D42" s="251" t="s">
        <v>395</v>
      </c>
      <c r="E42" s="251"/>
      <c r="F42" s="809" t="s">
        <v>424</v>
      </c>
      <c r="G42" s="431" t="s">
        <v>424</v>
      </c>
      <c r="H42" s="407" t="s">
        <v>424</v>
      </c>
      <c r="I42" s="407" t="s">
        <v>424</v>
      </c>
      <c r="J42" s="407" t="s">
        <v>424</v>
      </c>
      <c r="K42" s="197" t="s">
        <v>23</v>
      </c>
      <c r="L42" s="197" t="s">
        <v>23</v>
      </c>
      <c r="M42" s="197" t="s">
        <v>23</v>
      </c>
      <c r="N42" s="197" t="s">
        <v>23</v>
      </c>
    </row>
    <row r="43" spans="2:14" ht="26.85" customHeight="1" x14ac:dyDescent="0.25">
      <c r="B43" s="253" t="s">
        <v>432</v>
      </c>
      <c r="C43" s="345"/>
      <c r="D43" s="251" t="s">
        <v>395</v>
      </c>
      <c r="E43" s="251"/>
      <c r="F43" s="821" t="s">
        <v>23</v>
      </c>
      <c r="G43" s="617" t="s">
        <v>23</v>
      </c>
      <c r="H43" s="197" t="s">
        <v>23</v>
      </c>
      <c r="I43" s="197" t="s">
        <v>23</v>
      </c>
      <c r="J43" s="197" t="s">
        <v>23</v>
      </c>
      <c r="K43" s="192">
        <v>103042</v>
      </c>
      <c r="L43" s="192">
        <v>112767</v>
      </c>
      <c r="M43" s="192">
        <v>116404</v>
      </c>
      <c r="N43" s="192">
        <v>115750</v>
      </c>
    </row>
    <row r="44" spans="2:14" ht="80.849999999999994" customHeight="1" x14ac:dyDescent="0.2">
      <c r="B44" s="1005" t="s">
        <v>433</v>
      </c>
      <c r="C44" s="1005"/>
      <c r="D44" s="1005"/>
      <c r="E44" s="1005"/>
      <c r="F44" s="1005"/>
      <c r="G44" s="1005"/>
      <c r="H44" s="1005"/>
      <c r="I44" s="1005"/>
      <c r="J44" s="1005"/>
      <c r="K44" s="1005"/>
      <c r="L44" s="1005"/>
      <c r="M44" s="1005"/>
      <c r="N44" s="1005"/>
    </row>
    <row r="45" spans="2:14" ht="50.25" customHeight="1" x14ac:dyDescent="0.2">
      <c r="B45" s="112"/>
      <c r="C45" s="112"/>
      <c r="D45" s="19"/>
      <c r="E45" s="19"/>
      <c r="F45" s="19"/>
      <c r="G45" s="20"/>
      <c r="H45" s="20"/>
      <c r="I45" s="20"/>
      <c r="J45" s="20"/>
      <c r="K45" s="20"/>
      <c r="L45" s="20"/>
      <c r="M45" s="20"/>
      <c r="N45" s="20"/>
    </row>
    <row r="46" spans="2:14" ht="26.85" customHeight="1" x14ac:dyDescent="0.3">
      <c r="B46" s="646" t="s">
        <v>434</v>
      </c>
      <c r="C46" s="133"/>
      <c r="D46" s="7" t="s">
        <v>9</v>
      </c>
      <c r="E46" s="7"/>
      <c r="F46" s="8" t="s">
        <v>10</v>
      </c>
      <c r="G46" s="9" t="s">
        <v>11</v>
      </c>
      <c r="H46" s="9" t="s">
        <v>12</v>
      </c>
      <c r="I46" s="9" t="s">
        <v>13</v>
      </c>
      <c r="J46" s="9" t="s">
        <v>14</v>
      </c>
      <c r="K46" s="9" t="s">
        <v>15</v>
      </c>
      <c r="L46" s="9" t="s">
        <v>16</v>
      </c>
      <c r="M46" s="9" t="s">
        <v>17</v>
      </c>
      <c r="N46" s="9" t="s">
        <v>18</v>
      </c>
    </row>
    <row r="47" spans="2:14" ht="26.85" customHeight="1" x14ac:dyDescent="0.25">
      <c r="B47" s="253" t="s">
        <v>435</v>
      </c>
      <c r="C47" s="253"/>
      <c r="D47" s="196"/>
      <c r="E47" s="196"/>
      <c r="F47" s="859"/>
      <c r="G47" s="852"/>
      <c r="H47" s="430"/>
      <c r="I47" s="391"/>
      <c r="J47" s="421"/>
      <c r="K47" s="391"/>
      <c r="L47" s="391"/>
      <c r="M47" s="391"/>
      <c r="N47" s="391"/>
    </row>
    <row r="48" spans="2:14" ht="26.85" customHeight="1" x14ac:dyDescent="0.25">
      <c r="B48" s="359" t="s">
        <v>436</v>
      </c>
      <c r="C48" s="359"/>
      <c r="D48" s="255" t="s">
        <v>410</v>
      </c>
      <c r="E48" s="255"/>
      <c r="F48" s="794">
        <v>3222611</v>
      </c>
      <c r="G48" s="423">
        <v>3406555</v>
      </c>
      <c r="H48" s="423">
        <v>3365041.4963970799</v>
      </c>
      <c r="I48" s="423">
        <v>3433339.7733156951</v>
      </c>
      <c r="J48" s="423">
        <v>3602298.8394756266</v>
      </c>
      <c r="K48" s="423">
        <v>3642172.2900313661</v>
      </c>
      <c r="L48" s="197" t="s">
        <v>23</v>
      </c>
      <c r="M48" s="197" t="s">
        <v>23</v>
      </c>
      <c r="N48" s="197" t="s">
        <v>23</v>
      </c>
    </row>
    <row r="49" spans="2:28" ht="50.1" customHeight="1" x14ac:dyDescent="0.2">
      <c r="B49" s="37"/>
      <c r="C49" s="37"/>
      <c r="D49" s="98"/>
      <c r="E49" s="98"/>
      <c r="F49" s="98"/>
      <c r="G49" s="119"/>
      <c r="H49" s="21"/>
      <c r="I49" s="21"/>
      <c r="J49" s="20"/>
      <c r="K49" s="21"/>
      <c r="L49" s="21"/>
      <c r="M49" s="21"/>
      <c r="N49" s="21"/>
    </row>
    <row r="50" spans="2:28" ht="26.85" customHeight="1" x14ac:dyDescent="0.3">
      <c r="B50" s="646" t="s">
        <v>437</v>
      </c>
      <c r="C50" s="133"/>
      <c r="D50" s="7" t="s">
        <v>9</v>
      </c>
      <c r="E50" s="7"/>
      <c r="F50" s="8" t="s">
        <v>10</v>
      </c>
      <c r="G50" s="9" t="s">
        <v>11</v>
      </c>
      <c r="H50" s="9" t="s">
        <v>12</v>
      </c>
      <c r="I50" s="9" t="s">
        <v>13</v>
      </c>
      <c r="J50" s="9" t="s">
        <v>14</v>
      </c>
      <c r="K50" s="9" t="s">
        <v>15</v>
      </c>
      <c r="L50" s="9" t="s">
        <v>16</v>
      </c>
      <c r="M50" s="9" t="s">
        <v>17</v>
      </c>
      <c r="N50" s="9" t="s">
        <v>18</v>
      </c>
    </row>
    <row r="51" spans="2:28" ht="26.85" customHeight="1" x14ac:dyDescent="0.25">
      <c r="B51" s="235" t="s">
        <v>438</v>
      </c>
      <c r="C51" s="235"/>
      <c r="D51" s="251"/>
      <c r="E51" s="251"/>
      <c r="F51" s="820"/>
      <c r="G51" s="433"/>
      <c r="H51" s="244"/>
      <c r="I51" s="391"/>
      <c r="J51" s="249"/>
      <c r="K51" s="257"/>
      <c r="L51" s="257"/>
      <c r="M51" s="257"/>
      <c r="N51" s="257"/>
    </row>
    <row r="52" spans="2:28" ht="26.85" customHeight="1" x14ac:dyDescent="0.25">
      <c r="B52" s="358" t="s">
        <v>439</v>
      </c>
      <c r="C52" s="357"/>
      <c r="D52" s="251" t="s">
        <v>367</v>
      </c>
      <c r="E52" s="251"/>
      <c r="F52" s="794">
        <v>2233903</v>
      </c>
      <c r="G52" s="620">
        <v>3091889</v>
      </c>
      <c r="H52" s="192">
        <v>2990109</v>
      </c>
      <c r="I52" s="192">
        <v>1861768</v>
      </c>
      <c r="J52" s="192">
        <v>1799233</v>
      </c>
      <c r="K52" s="192">
        <v>2029191</v>
      </c>
      <c r="L52" s="192">
        <v>843571</v>
      </c>
      <c r="M52" s="192">
        <v>26503</v>
      </c>
      <c r="N52" s="192">
        <v>26503</v>
      </c>
    </row>
    <row r="53" spans="2:28" s="37" customFormat="1" ht="26.85" customHeight="1" x14ac:dyDescent="0.25">
      <c r="B53" s="1003" t="s">
        <v>440</v>
      </c>
      <c r="C53" s="1004"/>
      <c r="D53" s="1004"/>
      <c r="E53" s="1004"/>
      <c r="F53" s="1004"/>
      <c r="G53" s="1004"/>
      <c r="H53" s="1004"/>
      <c r="I53" s="1004"/>
      <c r="J53" s="1004"/>
      <c r="K53" s="1004"/>
      <c r="L53" s="1004"/>
      <c r="M53" s="1004"/>
      <c r="N53" s="1004"/>
      <c r="O53" s="369"/>
      <c r="P53" s="369"/>
      <c r="Q53" s="369"/>
      <c r="R53" s="369"/>
      <c r="S53" s="369"/>
      <c r="T53" s="369"/>
      <c r="U53" s="48"/>
      <c r="V53" s="48"/>
      <c r="W53" s="48"/>
      <c r="X53" s="48"/>
      <c r="Y53" s="48"/>
      <c r="Z53" s="48"/>
      <c r="AA53" s="48"/>
      <c r="AB53" s="54"/>
    </row>
    <row r="56" spans="2:28" hidden="1" x14ac:dyDescent="0.2"/>
    <row r="57" spans="2:28" hidden="1" x14ac:dyDescent="0.2"/>
    <row r="58" spans="2:28" ht="14.25" hidden="1" x14ac:dyDescent="0.2">
      <c r="B58" s="664"/>
      <c r="C58" s="664"/>
      <c r="D58" s="664"/>
      <c r="E58" s="665"/>
      <c r="F58" s="665"/>
      <c r="G58" s="665"/>
      <c r="H58" s="665"/>
      <c r="I58" s="665"/>
      <c r="J58" s="665"/>
      <c r="K58" s="665"/>
      <c r="L58" s="665"/>
      <c r="M58" s="665"/>
      <c r="N58" s="665"/>
    </row>
    <row r="59" spans="2:28" ht="14.25" hidden="1" x14ac:dyDescent="0.2">
      <c r="B59" s="664"/>
      <c r="C59" s="664"/>
      <c r="D59" s="664"/>
      <c r="E59" s="665"/>
      <c r="F59" s="665"/>
      <c r="G59" s="665"/>
      <c r="H59" s="665"/>
      <c r="I59" s="665"/>
      <c r="J59" s="665"/>
      <c r="K59" s="665"/>
      <c r="L59" s="665"/>
      <c r="M59" s="665"/>
      <c r="N59" s="665"/>
    </row>
    <row r="60" spans="2:28" ht="14.25" hidden="1" x14ac:dyDescent="0.2">
      <c r="C60" s="664"/>
      <c r="D60" s="664"/>
      <c r="E60" s="665"/>
      <c r="F60" s="665" t="s">
        <v>10</v>
      </c>
      <c r="G60" s="665" t="s">
        <v>11</v>
      </c>
      <c r="H60" s="665" t="s">
        <v>12</v>
      </c>
      <c r="I60" s="665" t="s">
        <v>13</v>
      </c>
      <c r="J60" s="665" t="s">
        <v>14</v>
      </c>
      <c r="K60" s="665" t="s">
        <v>15</v>
      </c>
      <c r="L60" s="665" t="s">
        <v>16</v>
      </c>
      <c r="M60" s="665" t="s">
        <v>17</v>
      </c>
      <c r="N60" s="665" t="s">
        <v>18</v>
      </c>
    </row>
    <row r="61" spans="2:28" hidden="1" x14ac:dyDescent="0.2">
      <c r="B61" s="666" t="s">
        <v>441</v>
      </c>
      <c r="C61" s="666"/>
      <c r="D61" s="666"/>
      <c r="E61" s="667"/>
      <c r="F61" s="668">
        <v>0.66</v>
      </c>
      <c r="G61" s="668">
        <v>0.68</v>
      </c>
      <c r="H61" s="668">
        <v>0.73</v>
      </c>
      <c r="I61" s="668">
        <v>0.79</v>
      </c>
      <c r="J61" s="668">
        <v>0.81</v>
      </c>
      <c r="K61" s="668">
        <v>0.81</v>
      </c>
      <c r="L61" s="668">
        <v>0.82</v>
      </c>
      <c r="M61" s="668">
        <v>0.83</v>
      </c>
      <c r="N61" s="668">
        <v>0.84</v>
      </c>
    </row>
    <row r="62" spans="2:28" ht="14.25" hidden="1" x14ac:dyDescent="0.2">
      <c r="B62" s="664"/>
      <c r="C62" s="664"/>
      <c r="D62" s="664"/>
      <c r="E62" s="665"/>
      <c r="F62" s="665"/>
      <c r="G62" s="665"/>
      <c r="H62" s="665"/>
      <c r="I62" s="665"/>
      <c r="J62" s="665"/>
      <c r="K62" s="665"/>
      <c r="L62" s="665"/>
      <c r="M62" s="665"/>
      <c r="N62" s="665"/>
    </row>
    <row r="63" spans="2:28" ht="14.25" hidden="1" x14ac:dyDescent="0.2">
      <c r="B63" s="664"/>
      <c r="C63" s="664"/>
      <c r="D63" s="664"/>
      <c r="E63" s="665"/>
      <c r="F63" s="665"/>
      <c r="G63" s="665"/>
      <c r="H63" s="665"/>
      <c r="I63" s="665"/>
      <c r="J63" s="665"/>
      <c r="K63" s="665"/>
      <c r="L63" s="665"/>
      <c r="M63" s="665"/>
      <c r="N63" s="665"/>
    </row>
    <row r="64" spans="2:28" ht="14.25" hidden="1" x14ac:dyDescent="0.2">
      <c r="B64" s="664"/>
      <c r="C64" s="664"/>
      <c r="D64" s="664"/>
      <c r="E64" s="787"/>
      <c r="F64" s="788" t="s">
        <v>10</v>
      </c>
      <c r="G64" s="787" t="s">
        <v>11</v>
      </c>
      <c r="H64" s="788" t="s">
        <v>12</v>
      </c>
      <c r="I64" s="788" t="s">
        <v>13</v>
      </c>
      <c r="J64" s="788" t="s">
        <v>14</v>
      </c>
      <c r="K64" s="788" t="s">
        <v>15</v>
      </c>
      <c r="L64" s="665"/>
      <c r="M64" s="665"/>
      <c r="N64" s="665"/>
    </row>
    <row r="65" spans="2:14" ht="14.25" hidden="1" x14ac:dyDescent="0.2">
      <c r="B65" s="664"/>
      <c r="C65" s="664"/>
      <c r="D65" s="664"/>
      <c r="E65" s="788" t="s">
        <v>442</v>
      </c>
      <c r="F65" s="788">
        <f>F48</f>
        <v>3222611</v>
      </c>
      <c r="G65" s="787">
        <f>G66/$F$69</f>
        <v>3406467.7948866277</v>
      </c>
      <c r="H65" s="788">
        <f>H66/$F$69</f>
        <v>3365041.4963970776</v>
      </c>
      <c r="I65" s="788">
        <f>I66/$F$69</f>
        <v>3433339.7733156951</v>
      </c>
      <c r="J65" s="788">
        <f>J66/$F$69</f>
        <v>3602298.8394756266</v>
      </c>
      <c r="K65" s="788">
        <f>K66/$F$69</f>
        <v>3642172.2900313661</v>
      </c>
      <c r="L65" s="664"/>
      <c r="M65" s="664"/>
      <c r="N65" s="664"/>
    </row>
    <row r="66" spans="2:14" ht="14.25" hidden="1" x14ac:dyDescent="0.2">
      <c r="B66" s="664"/>
      <c r="C66" s="664"/>
      <c r="D66" s="664"/>
      <c r="E66" s="788" t="s">
        <v>443</v>
      </c>
      <c r="F66" s="788">
        <f>'Ausgrid Emissions'!F46</f>
        <v>3218776</v>
      </c>
      <c r="G66" s="787">
        <v>3402414</v>
      </c>
      <c r="H66" s="788">
        <f>'Ausgrid Emissions'!H46</f>
        <v>3361037</v>
      </c>
      <c r="I66" s="788">
        <f>'Ausgrid Emissions'!I46</f>
        <v>3429254</v>
      </c>
      <c r="J66" s="788">
        <f>'Ausgrid Emissions'!J46</f>
        <v>3598012</v>
      </c>
      <c r="K66" s="788">
        <f>'Ausgrid Emissions'!K46</f>
        <v>3637838</v>
      </c>
      <c r="L66" s="664"/>
      <c r="M66" s="664"/>
      <c r="N66" s="664"/>
    </row>
    <row r="67" spans="2:14" ht="14.25" hidden="1" x14ac:dyDescent="0.2">
      <c r="B67" s="664"/>
      <c r="C67" s="664"/>
      <c r="D67" s="664"/>
      <c r="E67" s="788" t="s">
        <v>51</v>
      </c>
      <c r="F67" s="789">
        <f>F65-F66</f>
        <v>3835</v>
      </c>
      <c r="G67" s="787">
        <f>G65*$F$70</f>
        <v>4053.7948866277115</v>
      </c>
      <c r="H67" s="788">
        <f>H65*$F$70</f>
        <v>4004.4963970776466</v>
      </c>
      <c r="I67" s="788">
        <f>I65*$F$70</f>
        <v>4085.7733156951585</v>
      </c>
      <c r="J67" s="788">
        <f>J65*$F$70</f>
        <v>4286.8394756267598</v>
      </c>
      <c r="K67" s="788">
        <f>K65*$F$70</f>
        <v>4334.2900313659602</v>
      </c>
      <c r="L67" s="664"/>
      <c r="M67" s="664"/>
      <c r="N67" s="664"/>
    </row>
    <row r="68" spans="2:14" ht="14.25" hidden="1" x14ac:dyDescent="0.2">
      <c r="B68" s="664"/>
      <c r="C68" s="664"/>
      <c r="D68" s="664"/>
      <c r="E68" s="788"/>
      <c r="F68" s="788"/>
      <c r="G68" s="787"/>
      <c r="H68" s="788"/>
      <c r="I68" s="788"/>
      <c r="J68" s="788"/>
      <c r="K68" s="788"/>
      <c r="L68" s="664"/>
      <c r="M68" s="664"/>
      <c r="N68" s="664"/>
    </row>
    <row r="69" spans="2:14" ht="14.25" hidden="1" x14ac:dyDescent="0.2">
      <c r="B69" s="664"/>
      <c r="C69" s="664"/>
      <c r="D69" s="664"/>
      <c r="E69" s="788" t="s">
        <v>443</v>
      </c>
      <c r="F69" s="790">
        <f>F66/F65</f>
        <v>0.99880997116934067</v>
      </c>
      <c r="G69" s="787"/>
      <c r="H69" s="788"/>
      <c r="I69" s="788"/>
      <c r="J69" s="788"/>
      <c r="K69" s="788"/>
      <c r="L69" s="664"/>
      <c r="M69" s="664"/>
      <c r="N69" s="664"/>
    </row>
    <row r="70" spans="2:14" ht="14.25" hidden="1" x14ac:dyDescent="0.2">
      <c r="B70" s="664"/>
      <c r="C70" s="664"/>
      <c r="D70" s="664"/>
      <c r="E70" s="788" t="s">
        <v>51</v>
      </c>
      <c r="F70" s="790">
        <f>F67/$F$65</f>
        <v>1.1900288306593628E-3</v>
      </c>
      <c r="G70" s="787"/>
      <c r="H70" s="788"/>
      <c r="I70" s="788"/>
      <c r="J70" s="788"/>
      <c r="K70" s="788"/>
      <c r="L70" s="664"/>
      <c r="M70" s="664"/>
      <c r="N70" s="664"/>
    </row>
    <row r="71" spans="2:14" hidden="1" x14ac:dyDescent="0.2">
      <c r="G71" s="853"/>
      <c r="H71" s="786"/>
      <c r="I71" s="786"/>
      <c r="J71" s="786"/>
      <c r="K71" s="786"/>
    </row>
    <row r="72" spans="2:14" hidden="1" x14ac:dyDescent="0.2">
      <c r="G72" s="29"/>
    </row>
    <row r="73" spans="2:14" hidden="1" x14ac:dyDescent="0.2">
      <c r="G73" s="29"/>
    </row>
    <row r="74" spans="2:14" hidden="1" x14ac:dyDescent="0.2">
      <c r="G74" s="29"/>
    </row>
    <row r="75" spans="2:14" x14ac:dyDescent="0.2">
      <c r="G75" s="854"/>
    </row>
    <row r="76" spans="2:14" x14ac:dyDescent="0.2">
      <c r="G76" s="29"/>
    </row>
    <row r="79" spans="2:14" ht="14.25" x14ac:dyDescent="0.2">
      <c r="B79" s="664"/>
      <c r="C79" s="664"/>
      <c r="D79" s="664"/>
      <c r="E79" s="665"/>
      <c r="F79" s="665"/>
      <c r="G79" s="665"/>
      <c r="H79" s="665"/>
      <c r="I79" s="665"/>
      <c r="J79" s="665"/>
      <c r="K79" s="665"/>
      <c r="L79" s="665"/>
      <c r="M79" s="665"/>
      <c r="N79" s="665"/>
    </row>
  </sheetData>
  <sheetProtection algorithmName="SHA-512" hashValue="YL5F+gGkx8E6fAb2Qu/fJYhw2bEffoO+ItPZgf68+Pc+mnUby3Q+bhxRKl/0rtF0eTOGF5wKDtdHHZmZhFRf5A==" saltValue="WH+ARxa9wup2MjsjryBRtw==" spinCount="100000" sheet="1" objects="1" scenarios="1"/>
  <protectedRanges>
    <protectedRange algorithmName="SHA-512" hashValue="SBmVKL1PmbJO4BEGzBE2xSftKq5NiG1q1emuti/GVfceCNi5g6XOmQ1IMu3DBdkx1ZhRvUtbpcPo4ef6OYQSig==" saltValue="08oHF2zO3UoJG6Nlb1OgOA==" spinCount="100000" sqref="J49:J51 I46:I47 I5:J5 I10:M10 I50:I52 J52:M52 I18:M18 J45:J47 I9:J9 I12:J17 I6:M6 I20:J22 I27:J30 H26:N26 H48:N48 K28:N42 I24:J25 K44:N44 K11:N11 K19:N19 F28:H30 F32:J34 F43:J43 F7:N7" name="FY20_3_2_1"/>
    <protectedRange algorithmName="SHA-512" hashValue="SBmVKL1PmbJO4BEGzBE2xSftKq5NiG1q1emuti/GVfceCNi5g6XOmQ1IMu3DBdkx1ZhRvUtbpcPo4ef6OYQSig==" saltValue="08oHF2zO3UoJG6Nlb1OgOA==" spinCount="100000" sqref="N6 N10 N18" name="FY20_3_2_1_1"/>
    <protectedRange algorithmName="SHA-512" hashValue="SBmVKL1PmbJO4BEGzBE2xSftKq5NiG1q1emuti/GVfceCNi5g6XOmQ1IMu3DBdkx1ZhRvUtbpcPo4ef6OYQSig==" saltValue="08oHF2zO3UoJG6Nlb1OgOA==" spinCount="100000" sqref="G26" name="FY20_3_2_1_11"/>
    <protectedRange algorithmName="SHA-512" hashValue="SBmVKL1PmbJO4BEGzBE2xSftKq5NiG1q1emuti/GVfceCNi5g6XOmQ1IMu3DBdkx1ZhRvUtbpcPo4ef6OYQSig==" saltValue="08oHF2zO3UoJG6Nlb1OgOA==" spinCount="100000" sqref="G52" name="FY20_3_2_1_13"/>
    <protectedRange algorithmName="SHA-512" hashValue="SBmVKL1PmbJO4BEGzBE2xSftKq5NiG1q1emuti/GVfceCNi5g6XOmQ1IMu3DBdkx1ZhRvUtbpcPo4ef6OYQSig==" saltValue="08oHF2zO3UoJG6Nlb1OgOA==" spinCount="100000" sqref="G48" name="FY20_3_2_1_15"/>
    <protectedRange algorithmName="SHA-512" hashValue="SBmVKL1PmbJO4BEGzBE2xSftKq5NiG1q1emuti/GVfceCNi5g6XOmQ1IMu3DBdkx1ZhRvUtbpcPo4ef6OYQSig==" saltValue="08oHF2zO3UoJG6Nlb1OgOA==" spinCount="100000" sqref="F6:G6" name="FY20_3_2_1_2_2"/>
    <protectedRange algorithmName="SHA-512" hashValue="SBmVKL1PmbJO4BEGzBE2xSftKq5NiG1q1emuti/GVfceCNi5g6XOmQ1IMu3DBdkx1ZhRvUtbpcPo4ef6OYQSig==" saltValue="08oHF2zO3UoJG6Nlb1OgOA==" spinCount="100000" sqref="F8:G8" name="FY20_3_2_1_4_2"/>
    <protectedRange algorithmName="SHA-512" hashValue="SBmVKL1PmbJO4BEGzBE2xSftKq5NiG1q1emuti/GVfceCNi5g6XOmQ1IMu3DBdkx1ZhRvUtbpcPo4ef6OYQSig==" saltValue="08oHF2zO3UoJG6Nlb1OgOA==" spinCount="100000" sqref="H11:J11 F10:G11" name="FY20_3_2_1_7_2"/>
    <protectedRange algorithmName="SHA-512" hashValue="SBmVKL1PmbJO4BEGzBE2xSftKq5NiG1q1emuti/GVfceCNi5g6XOmQ1IMu3DBdkx1ZhRvUtbpcPo4ef6OYQSig==" saltValue="08oHF2zO3UoJG6Nlb1OgOA==" spinCount="100000" sqref="G13:G16" name="FY20_3_2_1_8_2"/>
    <protectedRange algorithmName="SHA-512" hashValue="SBmVKL1PmbJO4BEGzBE2xSftKq5NiG1q1emuti/GVfceCNi5g6XOmQ1IMu3DBdkx1ZhRvUtbpcPo4ef6OYQSig==" saltValue="08oHF2zO3UoJG6Nlb1OgOA==" spinCount="100000" sqref="H19:J19 F18:G19" name="FY20_3_2_1_9_2"/>
    <protectedRange algorithmName="SHA-512" hashValue="SBmVKL1PmbJO4BEGzBE2xSftKq5NiG1q1emuti/GVfceCNi5g6XOmQ1IMu3DBdkx1ZhRvUtbpcPo4ef6OYQSig==" saltValue="08oHF2zO3UoJG6Nlb1OgOA==" spinCount="100000" sqref="G21:G24 H23:N23" name="FY20_3_2_1_10_2"/>
    <protectedRange algorithmName="SHA-512" hashValue="SBmVKL1PmbJO4BEGzBE2xSftKq5NiG1q1emuti/GVfceCNi5g6XOmQ1IMu3DBdkx1ZhRvUtbpcPo4ef6OYQSig==" saltValue="08oHF2zO3UoJG6Nlb1OgOA==" spinCount="100000" sqref="L43:N43" name="FY20_3_2_1_4"/>
  </protectedRanges>
  <mergeCells count="3">
    <mergeCell ref="B53:N53"/>
    <mergeCell ref="B44:N44"/>
    <mergeCell ref="C2:H2"/>
  </mergeCells>
  <pageMargins left="0.7" right="0.7" top="0.75" bottom="0.75" header="0.3" footer="0.3"/>
  <pageSetup paperSize="9" scale="30"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A1BF-CC7B-44E6-A83E-D4DFF2C6BFAE}">
  <sheetPr codeName="Sheet12">
    <tabColor theme="9" tint="0.79998168889431442"/>
    <pageSetUpPr fitToPage="1"/>
  </sheetPr>
  <dimension ref="B1:AD61"/>
  <sheetViews>
    <sheetView showGridLines="0" topLeftCell="G2" zoomScale="91" zoomScaleNormal="55" workbookViewId="0">
      <selection activeCell="I31" sqref="I31"/>
    </sheetView>
  </sheetViews>
  <sheetFormatPr defaultColWidth="8.5703125" defaultRowHeight="15" x14ac:dyDescent="0.2"/>
  <cols>
    <col min="1" max="1" width="4.42578125" style="28" customWidth="1"/>
    <col min="2" max="2" width="64.5703125" style="28" customWidth="1"/>
    <col min="3" max="3" width="20.5703125" style="28" customWidth="1"/>
    <col min="4" max="4" width="9.42578125" style="15" customWidth="1"/>
    <col min="5" max="5" width="15.42578125" style="15" customWidth="1"/>
    <col min="6" max="6" width="21.5703125" style="15" customWidth="1"/>
    <col min="7" max="14" width="21.5703125" style="44" customWidth="1"/>
    <col min="15" max="15" width="15.5703125" style="50" customWidth="1"/>
    <col min="16" max="16384" width="8.5703125" style="28"/>
  </cols>
  <sheetData>
    <row r="1" spans="2:15" ht="24.6" customHeight="1" x14ac:dyDescent="0.2"/>
    <row r="2" spans="2:15" ht="81" customHeight="1" x14ac:dyDescent="0.2">
      <c r="B2" s="916" t="s">
        <v>444</v>
      </c>
      <c r="C2" s="916"/>
      <c r="D2" s="337"/>
      <c r="E2" s="337"/>
      <c r="F2" s="337"/>
      <c r="G2" s="465"/>
      <c r="H2" s="337"/>
      <c r="I2" s="337"/>
      <c r="J2" s="337"/>
      <c r="K2" s="337"/>
      <c r="L2" s="337"/>
      <c r="M2" s="337"/>
      <c r="N2" s="277"/>
      <c r="O2" s="102"/>
    </row>
    <row r="3" spans="2:15" ht="25.5" customHeight="1" x14ac:dyDescent="0.2">
      <c r="B3" s="70"/>
      <c r="C3" s="70"/>
      <c r="D3" s="98"/>
      <c r="E3" s="98"/>
      <c r="F3" s="98"/>
      <c r="G3" s="71"/>
      <c r="H3" s="71"/>
      <c r="I3" s="71"/>
      <c r="J3" s="78"/>
      <c r="K3" s="103"/>
      <c r="L3" s="103"/>
      <c r="M3" s="103"/>
      <c r="N3" s="103"/>
      <c r="O3" s="102"/>
    </row>
    <row r="4" spans="2:15" ht="26.85" customHeight="1" x14ac:dyDescent="0.2">
      <c r="B4" s="6" t="s">
        <v>392</v>
      </c>
      <c r="C4" s="6"/>
      <c r="D4" s="7" t="s">
        <v>9</v>
      </c>
      <c r="E4" s="7"/>
      <c r="F4" s="8" t="s">
        <v>10</v>
      </c>
      <c r="G4" s="9" t="s">
        <v>11</v>
      </c>
      <c r="H4" s="9" t="s">
        <v>12</v>
      </c>
      <c r="I4" s="9" t="s">
        <v>13</v>
      </c>
      <c r="J4" s="9" t="s">
        <v>14</v>
      </c>
      <c r="K4" s="9" t="s">
        <v>15</v>
      </c>
      <c r="L4" s="9" t="s">
        <v>16</v>
      </c>
      <c r="M4" s="9" t="s">
        <v>17</v>
      </c>
      <c r="N4" s="9" t="s">
        <v>18</v>
      </c>
      <c r="O4" s="82"/>
    </row>
    <row r="5" spans="2:15" ht="26.85" customHeight="1" x14ac:dyDescent="0.25">
      <c r="B5" s="235" t="s">
        <v>393</v>
      </c>
      <c r="C5" s="235"/>
      <c r="D5" s="235"/>
      <c r="E5" s="235"/>
      <c r="F5" s="820"/>
      <c r="G5" s="433"/>
      <c r="H5" s="387"/>
      <c r="I5" s="244"/>
      <c r="J5" s="199"/>
      <c r="K5" s="244"/>
      <c r="L5" s="244"/>
      <c r="M5" s="244"/>
      <c r="N5" s="244"/>
      <c r="O5" s="102"/>
    </row>
    <row r="6" spans="2:15" ht="26.85" customHeight="1" x14ac:dyDescent="0.25">
      <c r="B6" s="357" t="s">
        <v>445</v>
      </c>
      <c r="C6" s="357"/>
      <c r="D6" s="251" t="s">
        <v>395</v>
      </c>
      <c r="E6" s="251"/>
      <c r="F6" s="794">
        <f>SUM(F10+F17)</f>
        <v>577389.95040789188</v>
      </c>
      <c r="G6" s="620">
        <f>SUM(G10+G17)</f>
        <v>631003.57620000001</v>
      </c>
      <c r="H6" s="192">
        <f>H10+H17</f>
        <v>666910.29321084998</v>
      </c>
      <c r="I6" s="192">
        <f t="shared" ref="I6:N6" si="0">SUM(I10,I17)</f>
        <v>748184.77520316723</v>
      </c>
      <c r="J6" s="374">
        <f t="shared" si="0"/>
        <v>803282</v>
      </c>
      <c r="K6" s="374">
        <f t="shared" si="0"/>
        <v>811237</v>
      </c>
      <c r="L6" s="374">
        <f t="shared" si="0"/>
        <v>846358</v>
      </c>
      <c r="M6" s="374">
        <f t="shared" si="0"/>
        <v>917310</v>
      </c>
      <c r="N6" s="192">
        <f t="shared" si="0"/>
        <v>921693</v>
      </c>
      <c r="O6" s="106"/>
    </row>
    <row r="7" spans="2:15" ht="26.85" customHeight="1" x14ac:dyDescent="0.25">
      <c r="B7" s="256" t="s">
        <v>396</v>
      </c>
      <c r="C7" s="360"/>
      <c r="D7" s="193" t="s">
        <v>31</v>
      </c>
      <c r="E7" s="193"/>
      <c r="F7" s="602">
        <f>(F6/$K$6)-1</f>
        <v>-0.28825984218188783</v>
      </c>
      <c r="G7" s="608">
        <f>(G6/$K$6)-1</f>
        <v>-0.22217110881283764</v>
      </c>
      <c r="H7" s="607">
        <f>(H6/$K$6)-1</f>
        <v>-0.17790942325011061</v>
      </c>
      <c r="I7" s="424">
        <f>(I6/$K$6)-1</f>
        <v>-7.7723556490683743E-2</v>
      </c>
      <c r="J7" s="424">
        <f>(J6/$K$6)-1</f>
        <v>-9.8060122997348786E-3</v>
      </c>
      <c r="K7" s="197" t="s">
        <v>23</v>
      </c>
      <c r="L7" s="197" t="s">
        <v>23</v>
      </c>
      <c r="M7" s="197" t="s">
        <v>23</v>
      </c>
      <c r="N7" s="197" t="s">
        <v>23</v>
      </c>
      <c r="O7" s="116"/>
    </row>
    <row r="8" spans="2:15" ht="26.85" customHeight="1" x14ac:dyDescent="0.25">
      <c r="B8" s="355" t="s">
        <v>446</v>
      </c>
      <c r="C8" s="355"/>
      <c r="D8" s="251" t="s">
        <v>395</v>
      </c>
      <c r="E8" s="251"/>
      <c r="F8" s="794">
        <f>F6+F24</f>
        <v>937907.77238416043</v>
      </c>
      <c r="G8" s="620">
        <f>G6+G24</f>
        <v>991462.5800572806</v>
      </c>
      <c r="H8" s="192">
        <f>H6+H24</f>
        <v>1023376.3421984399</v>
      </c>
      <c r="I8" s="192">
        <f>I6+I24</f>
        <v>1105589.5443288502</v>
      </c>
      <c r="J8" s="374">
        <f>J6+J24</f>
        <v>1158585.6589635855</v>
      </c>
      <c r="K8" s="374">
        <f>SUM(K6+'GROUP Emissions'!K43)</f>
        <v>914279</v>
      </c>
      <c r="L8" s="374">
        <f>SUM(L6+'GROUP Emissions'!L43)</f>
        <v>959125</v>
      </c>
      <c r="M8" s="374">
        <f>SUM(M6+'GROUP Emissions'!M43)</f>
        <v>1033714</v>
      </c>
      <c r="N8" s="374">
        <f>SUM(N6+'GROUP Emissions'!N43)</f>
        <v>1037443</v>
      </c>
      <c r="O8" s="680"/>
    </row>
    <row r="9" spans="2:15" ht="26.85" customHeight="1" x14ac:dyDescent="0.25">
      <c r="B9" s="235" t="s">
        <v>398</v>
      </c>
      <c r="C9" s="235"/>
      <c r="D9" s="235"/>
      <c r="E9" s="235"/>
      <c r="F9" s="820"/>
      <c r="G9" s="433"/>
      <c r="H9" s="192"/>
      <c r="I9" s="192"/>
      <c r="J9" s="374"/>
      <c r="K9" s="431"/>
      <c r="L9" s="433"/>
      <c r="M9" s="433"/>
      <c r="N9" s="244"/>
      <c r="O9" s="679"/>
    </row>
    <row r="10" spans="2:15" ht="27.75" customHeight="1" x14ac:dyDescent="0.25">
      <c r="B10" s="357" t="s">
        <v>399</v>
      </c>
      <c r="C10" s="357"/>
      <c r="D10" s="251" t="s">
        <v>395</v>
      </c>
      <c r="E10" s="251"/>
      <c r="F10" s="794">
        <f>SUM(F12:F15)</f>
        <v>11155.259182443298</v>
      </c>
      <c r="G10" s="620">
        <f>SUM(G12:G15)</f>
        <v>13057.750400000001</v>
      </c>
      <c r="H10" s="192">
        <f t="shared" ref="H10:N10" si="1">SUM(H12:H15)</f>
        <v>10827.393236471653</v>
      </c>
      <c r="I10" s="192">
        <f t="shared" si="1"/>
        <v>22263.384642037607</v>
      </c>
      <c r="J10" s="374">
        <f>SUM(J12:J15)</f>
        <v>22438</v>
      </c>
      <c r="K10" s="374">
        <f t="shared" si="1"/>
        <v>21950</v>
      </c>
      <c r="L10" s="374">
        <f t="shared" si="1"/>
        <v>22855</v>
      </c>
      <c r="M10" s="374">
        <f>SUM(M12:M15)</f>
        <v>21958</v>
      </c>
      <c r="N10" s="192">
        <f t="shared" si="1"/>
        <v>23047</v>
      </c>
      <c r="O10" s="679"/>
    </row>
    <row r="11" spans="2:15" ht="26.85" customHeight="1" x14ac:dyDescent="0.25">
      <c r="B11" s="235" t="s">
        <v>401</v>
      </c>
      <c r="C11" s="235"/>
      <c r="D11" s="235"/>
      <c r="E11" s="235"/>
      <c r="F11" s="820"/>
      <c r="G11" s="433"/>
      <c r="H11" s="387"/>
      <c r="I11" s="426"/>
      <c r="J11" s="416"/>
      <c r="K11" s="416"/>
      <c r="L11" s="416"/>
      <c r="M11" s="416"/>
      <c r="N11" s="257"/>
      <c r="O11" s="681"/>
    </row>
    <row r="12" spans="2:15" ht="26.85" customHeight="1" x14ac:dyDescent="0.25">
      <c r="B12" s="357" t="s">
        <v>402</v>
      </c>
      <c r="C12" s="357"/>
      <c r="D12" s="251" t="s">
        <v>395</v>
      </c>
      <c r="E12" s="251"/>
      <c r="F12" s="794">
        <f>SUM('GROUP Emissions'!F13-'PLUS ES Emissions'!F10)</f>
        <v>219.82853597072196</v>
      </c>
      <c r="G12" s="620">
        <f>SUM('GROUP Emissions'!G13-'PLUS ES Emissions'!G10)</f>
        <v>222.73320000000001</v>
      </c>
      <c r="H12" s="419">
        <v>164.33856507981699</v>
      </c>
      <c r="I12" s="425">
        <v>227</v>
      </c>
      <c r="J12" s="638">
        <v>218</v>
      </c>
      <c r="K12" s="638">
        <v>180</v>
      </c>
      <c r="L12" s="638">
        <v>415</v>
      </c>
      <c r="M12" s="638">
        <v>396</v>
      </c>
      <c r="N12" s="425">
        <v>335</v>
      </c>
      <c r="O12" s="106"/>
    </row>
    <row r="13" spans="2:15" ht="26.85" customHeight="1" x14ac:dyDescent="0.25">
      <c r="B13" s="357" t="s">
        <v>403</v>
      </c>
      <c r="C13" s="357"/>
      <c r="D13" s="251" t="s">
        <v>395</v>
      </c>
      <c r="E13" s="251"/>
      <c r="F13" s="794">
        <f>SUM('GROUP Emissions'!F14-'PLUS ES Emissions'!F11)</f>
        <v>7997.850646472577</v>
      </c>
      <c r="G13" s="620">
        <f>SUM('GROUP Emissions'!G14-'PLUS ES Emissions'!G11)</f>
        <v>8677.8027000000002</v>
      </c>
      <c r="H13" s="192">
        <v>8290.2881735211631</v>
      </c>
      <c r="I13" s="192">
        <v>7921.4953962179343</v>
      </c>
      <c r="J13" s="374">
        <v>8343</v>
      </c>
      <c r="K13" s="374">
        <v>8621</v>
      </c>
      <c r="L13" s="374">
        <v>9409</v>
      </c>
      <c r="M13" s="374">
        <v>8614</v>
      </c>
      <c r="N13" s="192">
        <v>10474</v>
      </c>
      <c r="O13" s="106"/>
    </row>
    <row r="14" spans="2:15" ht="26.85" customHeight="1" x14ac:dyDescent="0.25">
      <c r="B14" s="357" t="s">
        <v>404</v>
      </c>
      <c r="C14" s="357"/>
      <c r="D14" s="251" t="s">
        <v>395</v>
      </c>
      <c r="E14" s="251"/>
      <c r="F14" s="794">
        <f>SUM('GROUP Emissions'!F15)</f>
        <v>2873.58</v>
      </c>
      <c r="G14" s="620">
        <f>SUM('GROUP Emissions'!G15)</f>
        <v>4096.2145</v>
      </c>
      <c r="H14" s="192">
        <v>2305.35</v>
      </c>
      <c r="I14" s="192">
        <v>14049.023799999999</v>
      </c>
      <c r="J14" s="374">
        <v>13804</v>
      </c>
      <c r="K14" s="374">
        <v>13088</v>
      </c>
      <c r="L14" s="374">
        <v>12987</v>
      </c>
      <c r="M14" s="374">
        <v>12829</v>
      </c>
      <c r="N14" s="192">
        <v>12068</v>
      </c>
      <c r="O14" s="106"/>
    </row>
    <row r="15" spans="2:15" ht="26.85" customHeight="1" x14ac:dyDescent="0.25">
      <c r="B15" s="357" t="s">
        <v>101</v>
      </c>
      <c r="C15" s="357"/>
      <c r="D15" s="251" t="s">
        <v>395</v>
      </c>
      <c r="E15" s="251"/>
      <c r="F15" s="794">
        <f>SUM('GROUP Emissions'!F16)</f>
        <v>64</v>
      </c>
      <c r="G15" s="620">
        <f>SUM('GROUP Emissions'!G16)</f>
        <v>61</v>
      </c>
      <c r="H15" s="419">
        <v>67.416497870672757</v>
      </c>
      <c r="I15" s="425">
        <v>65.865445819672132</v>
      </c>
      <c r="J15" s="638">
        <v>73</v>
      </c>
      <c r="K15" s="638">
        <v>61</v>
      </c>
      <c r="L15" s="638">
        <v>44</v>
      </c>
      <c r="M15" s="638">
        <v>119</v>
      </c>
      <c r="N15" s="425">
        <v>170</v>
      </c>
      <c r="O15" s="106"/>
    </row>
    <row r="16" spans="2:15" ht="26.85" customHeight="1" x14ac:dyDescent="0.25">
      <c r="B16" s="235" t="s">
        <v>447</v>
      </c>
      <c r="C16" s="235"/>
      <c r="D16" s="235"/>
      <c r="E16" s="235"/>
      <c r="F16" s="820"/>
      <c r="G16" s="433"/>
      <c r="H16" s="387"/>
      <c r="I16" s="426"/>
      <c r="J16" s="199"/>
      <c r="K16" s="244"/>
      <c r="L16" s="244"/>
      <c r="M16" s="244"/>
      <c r="N16" s="244"/>
      <c r="O16" s="102"/>
    </row>
    <row r="17" spans="2:15" ht="26.85" customHeight="1" x14ac:dyDescent="0.25">
      <c r="B17" s="357" t="s">
        <v>447</v>
      </c>
      <c r="C17" s="357"/>
      <c r="D17" s="251" t="s">
        <v>395</v>
      </c>
      <c r="E17" s="251"/>
      <c r="F17" s="794">
        <f>SUM(F19:F20)</f>
        <v>566234.69122544862</v>
      </c>
      <c r="G17" s="620">
        <f>SUM(G19:G20)</f>
        <v>617945.82579999999</v>
      </c>
      <c r="H17" s="192">
        <f t="shared" ref="H17:N17" si="2">SUM(H19:H20)</f>
        <v>656082.89997437829</v>
      </c>
      <c r="I17" s="192">
        <f t="shared" si="2"/>
        <v>725921.39056112967</v>
      </c>
      <c r="J17" s="192">
        <f t="shared" si="2"/>
        <v>780844</v>
      </c>
      <c r="K17" s="192">
        <f t="shared" si="2"/>
        <v>789287</v>
      </c>
      <c r="L17" s="192">
        <f t="shared" si="2"/>
        <v>823503</v>
      </c>
      <c r="M17" s="192">
        <f t="shared" si="2"/>
        <v>895352</v>
      </c>
      <c r="N17" s="192">
        <f t="shared" si="2"/>
        <v>898646</v>
      </c>
      <c r="O17" s="106"/>
    </row>
    <row r="18" spans="2:15" ht="26.85" customHeight="1" x14ac:dyDescent="0.25">
      <c r="B18" s="235" t="s">
        <v>407</v>
      </c>
      <c r="C18" s="235"/>
      <c r="D18" s="235"/>
      <c r="E18" s="235"/>
      <c r="F18" s="820"/>
      <c r="G18" s="433"/>
      <c r="H18" s="427"/>
      <c r="I18" s="426"/>
      <c r="J18" s="249"/>
      <c r="K18" s="257"/>
      <c r="L18" s="244"/>
      <c r="M18" s="257"/>
      <c r="N18" s="257"/>
      <c r="O18" s="108"/>
    </row>
    <row r="19" spans="2:15" ht="26.85" customHeight="1" x14ac:dyDescent="0.25">
      <c r="B19" s="357" t="s">
        <v>448</v>
      </c>
      <c r="C19" s="357"/>
      <c r="D19" s="251" t="s">
        <v>395</v>
      </c>
      <c r="E19" s="251"/>
      <c r="F19" s="809">
        <f>SUM('GROUP Emissions'!F21-'PLUS ES Emissions'!F16)</f>
        <v>8344.6912254486051</v>
      </c>
      <c r="G19" s="431">
        <f>SUM('GROUP Emissions'!G21-'PLUS ES Emissions'!G16)</f>
        <v>8676.8258000000005</v>
      </c>
      <c r="H19" s="192">
        <v>9156.0642424736325</v>
      </c>
      <c r="I19" s="192">
        <v>10159.390561129645</v>
      </c>
      <c r="J19" s="192">
        <v>10444</v>
      </c>
      <c r="K19" s="192">
        <v>10741</v>
      </c>
      <c r="L19" s="192">
        <v>14937</v>
      </c>
      <c r="M19" s="192">
        <v>17449</v>
      </c>
      <c r="N19" s="192">
        <v>19241</v>
      </c>
      <c r="O19" s="106"/>
    </row>
    <row r="20" spans="2:15" ht="26.85" customHeight="1" x14ac:dyDescent="0.25">
      <c r="B20" s="357" t="s">
        <v>409</v>
      </c>
      <c r="C20" s="357"/>
      <c r="D20" s="251" t="s">
        <v>395</v>
      </c>
      <c r="E20" s="251"/>
      <c r="F20" s="809">
        <f>SUM('GROUP Emissions'!F22)</f>
        <v>557890</v>
      </c>
      <c r="G20" s="431">
        <f>SUM('GROUP Emissions'!G22)</f>
        <v>609269</v>
      </c>
      <c r="H20" s="192">
        <v>646926.8357319046</v>
      </c>
      <c r="I20" s="192">
        <v>715762</v>
      </c>
      <c r="J20" s="192">
        <v>770400</v>
      </c>
      <c r="K20" s="192">
        <v>778546</v>
      </c>
      <c r="L20" s="192">
        <v>808566</v>
      </c>
      <c r="M20" s="192">
        <v>877903</v>
      </c>
      <c r="N20" s="192">
        <v>879405</v>
      </c>
      <c r="O20" s="106"/>
    </row>
    <row r="21" spans="2:15" ht="26.85" customHeight="1" x14ac:dyDescent="0.25">
      <c r="B21" s="357" t="s">
        <v>409</v>
      </c>
      <c r="C21" s="348"/>
      <c r="D21" s="251" t="s">
        <v>410</v>
      </c>
      <c r="E21" s="251"/>
      <c r="F21" s="809">
        <f>'GROUP Emissions'!F23</f>
        <v>3043033.8912</v>
      </c>
      <c r="G21" s="431">
        <f>'GROUP Emissions'!G23</f>
        <v>3225542</v>
      </c>
      <c r="H21" s="372" t="s">
        <v>23</v>
      </c>
      <c r="I21" s="372" t="s">
        <v>23</v>
      </c>
      <c r="J21" s="372" t="s">
        <v>23</v>
      </c>
      <c r="K21" s="372" t="s">
        <v>23</v>
      </c>
      <c r="L21" s="372" t="s">
        <v>23</v>
      </c>
      <c r="M21" s="372" t="s">
        <v>23</v>
      </c>
      <c r="N21" s="372" t="s">
        <v>23</v>
      </c>
      <c r="O21" s="106"/>
    </row>
    <row r="22" spans="2:15" ht="26.85" customHeight="1" x14ac:dyDescent="0.25">
      <c r="B22" s="357" t="s">
        <v>411</v>
      </c>
      <c r="C22" s="358"/>
      <c r="D22" s="252" t="s">
        <v>31</v>
      </c>
      <c r="E22" s="252"/>
      <c r="F22" s="839">
        <f>SUM('GROUP Emissions'!F24)</f>
        <v>3.4000000000000002E-2</v>
      </c>
      <c r="G22" s="831">
        <f>SUM('GROUP Emissions'!G24)</f>
        <v>3.5400000000000001E-2</v>
      </c>
      <c r="H22" s="381">
        <v>3.4799999999999998E-2</v>
      </c>
      <c r="I22" s="428">
        <v>3.6136364573432847E-2</v>
      </c>
      <c r="J22" s="429">
        <v>3.6999999999999998E-2</v>
      </c>
      <c r="K22" s="386">
        <v>3.6999999999999998E-2</v>
      </c>
      <c r="L22" s="386">
        <v>3.6999999999999998E-2</v>
      </c>
      <c r="M22" s="386">
        <v>0.04</v>
      </c>
      <c r="N22" s="386">
        <v>3.9E-2</v>
      </c>
      <c r="O22" s="109"/>
    </row>
    <row r="23" spans="2:15" ht="26.85" customHeight="1" x14ac:dyDescent="0.25">
      <c r="B23" s="235" t="s">
        <v>412</v>
      </c>
      <c r="C23" s="235"/>
      <c r="D23" s="235"/>
      <c r="E23" s="235"/>
      <c r="F23" s="820"/>
      <c r="G23" s="433"/>
      <c r="H23" s="422"/>
      <c r="I23" s="257"/>
      <c r="J23" s="249"/>
      <c r="K23" s="257"/>
      <c r="L23" s="257"/>
      <c r="M23" s="257"/>
      <c r="N23" s="257"/>
      <c r="O23" s="108"/>
    </row>
    <row r="24" spans="2:15" ht="26.85" customHeight="1" x14ac:dyDescent="0.25">
      <c r="B24" s="357" t="s">
        <v>449</v>
      </c>
      <c r="C24" s="357"/>
      <c r="D24" s="251" t="s">
        <v>395</v>
      </c>
      <c r="E24" s="251"/>
      <c r="F24" s="809">
        <f>SUM('GROUP Emissions'!F26-'PLUS ES Emissions'!F18)</f>
        <v>360517.82197626855</v>
      </c>
      <c r="G24" s="431">
        <f>SUM('GROUP Emissions'!G26-'PLUS ES Emissions'!G18)</f>
        <v>360459.00385728059</v>
      </c>
      <c r="H24" s="407">
        <f>SUM('GROUP Emissions'!H26-'PLUS ES Emissions'!H18)</f>
        <v>356466.04898758983</v>
      </c>
      <c r="I24" s="407">
        <f>SUM('GROUP Emissions'!I26-'PLUS ES Emissions'!I18)</f>
        <v>357404.76912568306</v>
      </c>
      <c r="J24" s="407">
        <f>SUM('GROUP Emissions'!J26-'PLUS ES Emissions'!J18)</f>
        <v>355303.65896358545</v>
      </c>
      <c r="K24" s="197" t="s">
        <v>23</v>
      </c>
      <c r="L24" s="197" t="s">
        <v>23</v>
      </c>
      <c r="M24" s="197" t="s">
        <v>23</v>
      </c>
      <c r="N24" s="197" t="s">
        <v>23</v>
      </c>
      <c r="O24" s="110"/>
    </row>
    <row r="25" spans="2:15" ht="26.85" customHeight="1" x14ac:dyDescent="0.25">
      <c r="B25" s="231" t="s">
        <v>414</v>
      </c>
      <c r="C25" s="231"/>
      <c r="D25" s="235"/>
      <c r="E25" s="235"/>
      <c r="F25" s="820"/>
      <c r="G25" s="433"/>
      <c r="H25" s="387"/>
      <c r="I25" s="257"/>
      <c r="J25" s="249"/>
      <c r="K25" s="257"/>
      <c r="L25" s="257"/>
      <c r="M25" s="257"/>
      <c r="N25" s="257"/>
      <c r="O25" s="108"/>
    </row>
    <row r="26" spans="2:15" ht="26.85" customHeight="1" x14ac:dyDescent="0.25">
      <c r="B26" s="345" t="s">
        <v>415</v>
      </c>
      <c r="C26" s="345"/>
      <c r="D26" s="251" t="s">
        <v>395</v>
      </c>
      <c r="E26" s="251"/>
      <c r="F26" s="809" t="s">
        <v>219</v>
      </c>
      <c r="G26" s="431" t="s">
        <v>219</v>
      </c>
      <c r="H26" s="181" t="s">
        <v>219</v>
      </c>
      <c r="I26" s="181" t="s">
        <v>219</v>
      </c>
      <c r="J26" s="423">
        <f>'GROUP Emissions'!J28-'PLUS ES Emissions'!J20</f>
        <v>15547.706582633053</v>
      </c>
      <c r="K26" s="197" t="s">
        <v>23</v>
      </c>
      <c r="L26" s="197" t="s">
        <v>23</v>
      </c>
      <c r="M26" s="197" t="s">
        <v>23</v>
      </c>
      <c r="N26" s="197" t="s">
        <v>23</v>
      </c>
      <c r="O26" s="108"/>
    </row>
    <row r="27" spans="2:15" ht="26.85" customHeight="1" x14ac:dyDescent="0.25">
      <c r="B27" s="345" t="s">
        <v>416</v>
      </c>
      <c r="C27" s="345"/>
      <c r="D27" s="251" t="s">
        <v>395</v>
      </c>
      <c r="E27" s="251"/>
      <c r="F27" s="809" t="s">
        <v>219</v>
      </c>
      <c r="G27" s="431" t="s">
        <v>219</v>
      </c>
      <c r="H27" s="181" t="s">
        <v>219</v>
      </c>
      <c r="I27" s="181" t="s">
        <v>219</v>
      </c>
      <c r="J27" s="423">
        <f>'GROUP Emissions'!J29-'PLUS ES Emissions'!J21</f>
        <v>181482.66806722688</v>
      </c>
      <c r="K27" s="197" t="s">
        <v>23</v>
      </c>
      <c r="L27" s="197" t="s">
        <v>23</v>
      </c>
      <c r="M27" s="197" t="s">
        <v>23</v>
      </c>
      <c r="N27" s="197" t="s">
        <v>23</v>
      </c>
      <c r="O27" s="108"/>
    </row>
    <row r="28" spans="2:15" ht="26.85" customHeight="1" x14ac:dyDescent="0.25">
      <c r="B28" s="345" t="s">
        <v>417</v>
      </c>
      <c r="C28" s="345"/>
      <c r="D28" s="251" t="s">
        <v>395</v>
      </c>
      <c r="E28" s="251"/>
      <c r="F28" s="809" t="s">
        <v>219</v>
      </c>
      <c r="G28" s="431" t="s">
        <v>219</v>
      </c>
      <c r="H28" s="181" t="s">
        <v>219</v>
      </c>
      <c r="I28" s="181" t="s">
        <v>219</v>
      </c>
      <c r="J28" s="423">
        <f>'GROUP Emissions'!J30-'PLUS ES Emissions'!J22</f>
        <v>152569.15266106444</v>
      </c>
      <c r="K28" s="197" t="s">
        <v>23</v>
      </c>
      <c r="L28" s="197" t="s">
        <v>23</v>
      </c>
      <c r="M28" s="197" t="s">
        <v>23</v>
      </c>
      <c r="N28" s="197" t="s">
        <v>23</v>
      </c>
      <c r="O28" s="108"/>
    </row>
    <row r="29" spans="2:15" ht="26.85" customHeight="1" x14ac:dyDescent="0.25">
      <c r="B29" s="345" t="s">
        <v>418</v>
      </c>
      <c r="C29" s="345"/>
      <c r="D29" s="251" t="s">
        <v>395</v>
      </c>
      <c r="E29" s="251"/>
      <c r="F29" s="809" t="s">
        <v>419</v>
      </c>
      <c r="G29" s="431" t="s">
        <v>419</v>
      </c>
      <c r="H29" s="181" t="s">
        <v>419</v>
      </c>
      <c r="I29" s="181" t="s">
        <v>419</v>
      </c>
      <c r="J29" s="181" t="s">
        <v>419</v>
      </c>
      <c r="K29" s="197" t="s">
        <v>23</v>
      </c>
      <c r="L29" s="197" t="s">
        <v>23</v>
      </c>
      <c r="M29" s="197" t="s">
        <v>23</v>
      </c>
      <c r="N29" s="197" t="s">
        <v>23</v>
      </c>
      <c r="O29" s="108"/>
    </row>
    <row r="30" spans="2:15" ht="26.85" customHeight="1" x14ac:dyDescent="0.25">
      <c r="B30" s="345" t="s">
        <v>420</v>
      </c>
      <c r="C30" s="345"/>
      <c r="D30" s="251" t="s">
        <v>395</v>
      </c>
      <c r="E30" s="251"/>
      <c r="F30" s="809" t="s">
        <v>219</v>
      </c>
      <c r="G30" s="431" t="s">
        <v>219</v>
      </c>
      <c r="H30" s="181" t="s">
        <v>219</v>
      </c>
      <c r="I30" s="181" t="s">
        <v>219</v>
      </c>
      <c r="J30" s="423">
        <f>'GROUP Emissions'!J32-'PLUS ES Emissions'!J24</f>
        <v>3889.0931372549021</v>
      </c>
      <c r="K30" s="197" t="s">
        <v>23</v>
      </c>
      <c r="L30" s="197" t="s">
        <v>23</v>
      </c>
      <c r="M30" s="197" t="s">
        <v>23</v>
      </c>
      <c r="N30" s="197" t="s">
        <v>23</v>
      </c>
      <c r="O30" s="108"/>
    </row>
    <row r="31" spans="2:15" ht="26.85" customHeight="1" x14ac:dyDescent="0.25">
      <c r="B31" s="345" t="s">
        <v>421</v>
      </c>
      <c r="C31" s="345"/>
      <c r="D31" s="251" t="s">
        <v>395</v>
      </c>
      <c r="E31" s="251"/>
      <c r="F31" s="809" t="s">
        <v>219</v>
      </c>
      <c r="G31" s="431" t="s">
        <v>219</v>
      </c>
      <c r="H31" s="181" t="s">
        <v>219</v>
      </c>
      <c r="I31" s="181" t="s">
        <v>219</v>
      </c>
      <c r="J31" s="423">
        <f>'GROUP Emissions'!J33-'PLUS ES Emissions'!J25</f>
        <v>105.91736694677871</v>
      </c>
      <c r="K31" s="197" t="s">
        <v>23</v>
      </c>
      <c r="L31" s="197" t="s">
        <v>23</v>
      </c>
      <c r="M31" s="197" t="s">
        <v>23</v>
      </c>
      <c r="N31" s="197" t="s">
        <v>23</v>
      </c>
      <c r="O31" s="108"/>
    </row>
    <row r="32" spans="2:15" ht="26.85" customHeight="1" x14ac:dyDescent="0.25">
      <c r="B32" s="345" t="s">
        <v>422</v>
      </c>
      <c r="C32" s="345"/>
      <c r="D32" s="251" t="s">
        <v>395</v>
      </c>
      <c r="E32" s="251"/>
      <c r="F32" s="809" t="s">
        <v>219</v>
      </c>
      <c r="G32" s="431" t="s">
        <v>219</v>
      </c>
      <c r="H32" s="181" t="s">
        <v>219</v>
      </c>
      <c r="I32" s="181" t="s">
        <v>219</v>
      </c>
      <c r="J32" s="423">
        <f>'GROUP Emissions'!J34-'PLUS ES Emissions'!J26</f>
        <v>1709.1211484593837</v>
      </c>
      <c r="K32" s="197" t="s">
        <v>23</v>
      </c>
      <c r="L32" s="197" t="s">
        <v>23</v>
      </c>
      <c r="M32" s="197" t="s">
        <v>23</v>
      </c>
      <c r="N32" s="197" t="s">
        <v>23</v>
      </c>
      <c r="O32" s="102"/>
    </row>
    <row r="33" spans="2:15" ht="26.85" customHeight="1" x14ac:dyDescent="0.25">
      <c r="B33" s="345" t="s">
        <v>423</v>
      </c>
      <c r="C33" s="345"/>
      <c r="D33" s="251" t="s">
        <v>395</v>
      </c>
      <c r="E33" s="251"/>
      <c r="F33" s="809" t="s">
        <v>424</v>
      </c>
      <c r="G33" s="431" t="s">
        <v>424</v>
      </c>
      <c r="H33" s="181" t="s">
        <v>424</v>
      </c>
      <c r="I33" s="181" t="s">
        <v>424</v>
      </c>
      <c r="J33" s="181" t="s">
        <v>424</v>
      </c>
      <c r="K33" s="197" t="s">
        <v>23</v>
      </c>
      <c r="L33" s="197" t="s">
        <v>23</v>
      </c>
      <c r="M33" s="197" t="s">
        <v>23</v>
      </c>
      <c r="N33" s="197" t="s">
        <v>23</v>
      </c>
      <c r="O33" s="102"/>
    </row>
    <row r="34" spans="2:15" ht="26.85" customHeight="1" x14ac:dyDescent="0.25">
      <c r="B34" s="345" t="s">
        <v>425</v>
      </c>
      <c r="C34" s="345"/>
      <c r="D34" s="251" t="s">
        <v>395</v>
      </c>
      <c r="E34" s="251"/>
      <c r="F34" s="809" t="s">
        <v>424</v>
      </c>
      <c r="G34" s="431" t="s">
        <v>424</v>
      </c>
      <c r="H34" s="181" t="s">
        <v>424</v>
      </c>
      <c r="I34" s="181" t="s">
        <v>424</v>
      </c>
      <c r="J34" s="181" t="s">
        <v>424</v>
      </c>
      <c r="K34" s="197" t="s">
        <v>23</v>
      </c>
      <c r="L34" s="197" t="s">
        <v>23</v>
      </c>
      <c r="M34" s="197" t="s">
        <v>23</v>
      </c>
      <c r="N34" s="197" t="s">
        <v>23</v>
      </c>
      <c r="O34" s="102"/>
    </row>
    <row r="35" spans="2:15" ht="26.85" customHeight="1" x14ac:dyDescent="0.25">
      <c r="B35" s="345" t="s">
        <v>426</v>
      </c>
      <c r="C35" s="345"/>
      <c r="D35" s="251" t="s">
        <v>395</v>
      </c>
      <c r="E35" s="251"/>
      <c r="F35" s="809" t="s">
        <v>424</v>
      </c>
      <c r="G35" s="431" t="s">
        <v>424</v>
      </c>
      <c r="H35" s="181" t="s">
        <v>424</v>
      </c>
      <c r="I35" s="181" t="s">
        <v>424</v>
      </c>
      <c r="J35" s="181" t="s">
        <v>424</v>
      </c>
      <c r="K35" s="197" t="s">
        <v>23</v>
      </c>
      <c r="L35" s="197" t="s">
        <v>23</v>
      </c>
      <c r="M35" s="197" t="s">
        <v>23</v>
      </c>
      <c r="N35" s="197" t="s">
        <v>23</v>
      </c>
      <c r="O35" s="102"/>
    </row>
    <row r="36" spans="2:15" ht="26.85" customHeight="1" x14ac:dyDescent="0.25">
      <c r="B36" s="345" t="s">
        <v>427</v>
      </c>
      <c r="C36" s="345"/>
      <c r="D36" s="251" t="s">
        <v>395</v>
      </c>
      <c r="E36" s="251"/>
      <c r="F36" s="809" t="s">
        <v>424</v>
      </c>
      <c r="G36" s="431" t="s">
        <v>424</v>
      </c>
      <c r="H36" s="181" t="s">
        <v>424</v>
      </c>
      <c r="I36" s="181" t="s">
        <v>424</v>
      </c>
      <c r="J36" s="181" t="s">
        <v>424</v>
      </c>
      <c r="K36" s="197" t="s">
        <v>23</v>
      </c>
      <c r="L36" s="197" t="s">
        <v>23</v>
      </c>
      <c r="M36" s="197" t="s">
        <v>23</v>
      </c>
      <c r="N36" s="197" t="s">
        <v>23</v>
      </c>
      <c r="O36" s="102"/>
    </row>
    <row r="37" spans="2:15" ht="26.85" customHeight="1" x14ac:dyDescent="0.25">
      <c r="B37" s="345" t="s">
        <v>428</v>
      </c>
      <c r="C37" s="345"/>
      <c r="D37" s="251" t="s">
        <v>395</v>
      </c>
      <c r="E37" s="251"/>
      <c r="F37" s="809" t="s">
        <v>424</v>
      </c>
      <c r="G37" s="431" t="s">
        <v>424</v>
      </c>
      <c r="H37" s="181" t="s">
        <v>424</v>
      </c>
      <c r="I37" s="181" t="s">
        <v>424</v>
      </c>
      <c r="J37" s="181" t="s">
        <v>424</v>
      </c>
      <c r="K37" s="197" t="s">
        <v>23</v>
      </c>
      <c r="L37" s="197" t="s">
        <v>23</v>
      </c>
      <c r="M37" s="197" t="s">
        <v>23</v>
      </c>
      <c r="N37" s="197" t="s">
        <v>23</v>
      </c>
      <c r="O37" s="102"/>
    </row>
    <row r="38" spans="2:15" ht="26.85" customHeight="1" x14ac:dyDescent="0.25">
      <c r="B38" s="345" t="s">
        <v>429</v>
      </c>
      <c r="C38" s="345"/>
      <c r="D38" s="251" t="s">
        <v>395</v>
      </c>
      <c r="E38" s="251"/>
      <c r="F38" s="809" t="s">
        <v>424</v>
      </c>
      <c r="G38" s="431" t="s">
        <v>424</v>
      </c>
      <c r="H38" s="181" t="s">
        <v>424</v>
      </c>
      <c r="I38" s="181" t="s">
        <v>424</v>
      </c>
      <c r="J38" s="181" t="s">
        <v>424</v>
      </c>
      <c r="K38" s="197" t="s">
        <v>23</v>
      </c>
      <c r="L38" s="197" t="s">
        <v>23</v>
      </c>
      <c r="M38" s="197" t="s">
        <v>23</v>
      </c>
      <c r="N38" s="197" t="s">
        <v>23</v>
      </c>
      <c r="O38" s="102"/>
    </row>
    <row r="39" spans="2:15" ht="26.85" customHeight="1" x14ac:dyDescent="0.25">
      <c r="B39" s="345" t="s">
        <v>430</v>
      </c>
      <c r="C39" s="345"/>
      <c r="D39" s="251" t="s">
        <v>395</v>
      </c>
      <c r="E39" s="251"/>
      <c r="F39" s="809" t="s">
        <v>424</v>
      </c>
      <c r="G39" s="431" t="s">
        <v>424</v>
      </c>
      <c r="H39" s="181" t="s">
        <v>424</v>
      </c>
      <c r="I39" s="181" t="s">
        <v>424</v>
      </c>
      <c r="J39" s="181" t="s">
        <v>424</v>
      </c>
      <c r="K39" s="197" t="s">
        <v>23</v>
      </c>
      <c r="L39" s="197" t="s">
        <v>23</v>
      </c>
      <c r="M39" s="197" t="s">
        <v>23</v>
      </c>
      <c r="N39" s="197" t="s">
        <v>23</v>
      </c>
      <c r="O39" s="102"/>
    </row>
    <row r="40" spans="2:15" ht="26.85" customHeight="1" x14ac:dyDescent="0.25">
      <c r="B40" s="345" t="s">
        <v>431</v>
      </c>
      <c r="C40" s="345"/>
      <c r="D40" s="251" t="s">
        <v>395</v>
      </c>
      <c r="E40" s="251"/>
      <c r="F40" s="809" t="s">
        <v>424</v>
      </c>
      <c r="G40" s="431" t="s">
        <v>424</v>
      </c>
      <c r="H40" s="181" t="s">
        <v>424</v>
      </c>
      <c r="I40" s="181" t="s">
        <v>424</v>
      </c>
      <c r="J40" s="181" t="s">
        <v>424</v>
      </c>
      <c r="K40" s="197" t="s">
        <v>23</v>
      </c>
      <c r="L40" s="197" t="s">
        <v>23</v>
      </c>
      <c r="M40" s="197" t="s">
        <v>23</v>
      </c>
      <c r="N40" s="197" t="s">
        <v>23</v>
      </c>
      <c r="O40" s="102"/>
    </row>
    <row r="41" spans="2:15" ht="26.85" customHeight="1" x14ac:dyDescent="0.25">
      <c r="B41" s="235" t="s">
        <v>450</v>
      </c>
      <c r="C41" s="235"/>
      <c r="D41" s="251" t="s">
        <v>395</v>
      </c>
      <c r="E41" s="251"/>
      <c r="F41" s="809" t="s">
        <v>219</v>
      </c>
      <c r="G41" s="431" t="s">
        <v>219</v>
      </c>
      <c r="H41" s="181" t="s">
        <v>219</v>
      </c>
      <c r="I41" s="181" t="s">
        <v>219</v>
      </c>
      <c r="J41" s="407">
        <f>SUM(J26:J40)</f>
        <v>355303.65896358539</v>
      </c>
      <c r="K41" s="197" t="s">
        <v>23</v>
      </c>
      <c r="L41" s="197" t="s">
        <v>23</v>
      </c>
      <c r="M41" s="197" t="s">
        <v>23</v>
      </c>
      <c r="N41" s="197" t="s">
        <v>23</v>
      </c>
      <c r="O41" s="102"/>
    </row>
    <row r="42" spans="2:15" ht="80.849999999999994" customHeight="1" x14ac:dyDescent="0.2">
      <c r="B42" s="1007" t="s">
        <v>451</v>
      </c>
      <c r="C42" s="1008"/>
      <c r="D42" s="1008"/>
      <c r="E42" s="1008"/>
      <c r="F42" s="1008"/>
      <c r="G42" s="1008"/>
      <c r="H42" s="1008"/>
      <c r="I42" s="1008"/>
      <c r="J42" s="1008"/>
      <c r="K42" s="1008"/>
      <c r="L42" s="1008"/>
      <c r="M42" s="1008"/>
      <c r="N42" s="1008"/>
      <c r="O42" s="102"/>
    </row>
    <row r="43" spans="2:15" ht="50.25" customHeight="1" x14ac:dyDescent="0.2">
      <c r="B43" s="112"/>
      <c r="C43" s="112"/>
      <c r="D43" s="19"/>
      <c r="E43" s="19"/>
      <c r="F43" s="19"/>
      <c r="G43" s="78"/>
      <c r="H43" s="20"/>
      <c r="I43" s="20"/>
      <c r="J43" s="20"/>
      <c r="K43" s="20"/>
      <c r="L43" s="20"/>
      <c r="M43" s="20"/>
      <c r="N43" s="20"/>
      <c r="O43" s="113"/>
    </row>
    <row r="44" spans="2:15" ht="26.85" customHeight="1" x14ac:dyDescent="0.2">
      <c r="B44" s="6" t="s">
        <v>434</v>
      </c>
      <c r="C44" s="6"/>
      <c r="D44" s="7" t="s">
        <v>9</v>
      </c>
      <c r="E44" s="7"/>
      <c r="F44" s="8" t="s">
        <v>10</v>
      </c>
      <c r="G44" s="9" t="s">
        <v>11</v>
      </c>
      <c r="H44" s="9" t="s">
        <v>12</v>
      </c>
      <c r="I44" s="9" t="s">
        <v>13</v>
      </c>
      <c r="J44" s="9" t="s">
        <v>14</v>
      </c>
      <c r="K44" s="9" t="s">
        <v>15</v>
      </c>
      <c r="L44" s="9" t="s">
        <v>16</v>
      </c>
      <c r="M44" s="9" t="s">
        <v>17</v>
      </c>
      <c r="N44" s="9" t="s">
        <v>18</v>
      </c>
      <c r="O44" s="82"/>
    </row>
    <row r="45" spans="2:15" ht="26.85" customHeight="1" x14ac:dyDescent="0.25">
      <c r="B45" s="253" t="s">
        <v>435</v>
      </c>
      <c r="C45" s="253"/>
      <c r="D45" s="254"/>
      <c r="E45" s="254"/>
      <c r="F45" s="818"/>
      <c r="G45" s="620"/>
      <c r="H45" s="420"/>
      <c r="I45" s="391"/>
      <c r="J45" s="421"/>
      <c r="K45" s="391"/>
      <c r="L45" s="391"/>
      <c r="M45" s="391"/>
      <c r="N45" s="391"/>
      <c r="O45" s="97"/>
    </row>
    <row r="46" spans="2:15" ht="26.85" customHeight="1" x14ac:dyDescent="0.25">
      <c r="B46" s="359" t="s">
        <v>436</v>
      </c>
      <c r="C46" s="359"/>
      <c r="D46" s="255" t="s">
        <v>410</v>
      </c>
      <c r="E46" s="255"/>
      <c r="F46" s="794">
        <v>3218776</v>
      </c>
      <c r="G46" s="423">
        <v>3402501</v>
      </c>
      <c r="H46" s="192">
        <v>3361037</v>
      </c>
      <c r="I46" s="192">
        <v>3429254</v>
      </c>
      <c r="J46" s="192">
        <v>3598012</v>
      </c>
      <c r="K46" s="192">
        <v>3637838</v>
      </c>
      <c r="L46" s="192">
        <v>3759806</v>
      </c>
      <c r="M46" s="192">
        <v>4024722</v>
      </c>
      <c r="N46" s="192">
        <v>4019237</v>
      </c>
      <c r="O46" s="111"/>
    </row>
    <row r="47" spans="2:15" ht="50.25" customHeight="1" x14ac:dyDescent="0.2">
      <c r="B47" s="114"/>
      <c r="C47" s="114"/>
      <c r="D47" s="19"/>
      <c r="E47" s="19"/>
      <c r="F47" s="784"/>
      <c r="G47" s="784"/>
      <c r="H47" s="118"/>
      <c r="I47" s="115"/>
      <c r="J47" s="117"/>
      <c r="K47" s="117"/>
      <c r="L47" s="117"/>
      <c r="M47" s="117"/>
      <c r="N47" s="80"/>
      <c r="O47" s="116"/>
    </row>
    <row r="48" spans="2:15" ht="26.85" customHeight="1" x14ac:dyDescent="0.2">
      <c r="B48" s="6" t="s">
        <v>452</v>
      </c>
      <c r="C48" s="6"/>
      <c r="D48" s="7" t="s">
        <v>9</v>
      </c>
      <c r="E48" s="7"/>
      <c r="F48" s="8" t="s">
        <v>10</v>
      </c>
      <c r="G48" s="9" t="s">
        <v>11</v>
      </c>
      <c r="H48" s="9" t="s">
        <v>12</v>
      </c>
      <c r="I48" s="9" t="s">
        <v>13</v>
      </c>
      <c r="J48" s="9" t="s">
        <v>14</v>
      </c>
      <c r="K48" s="9" t="s">
        <v>15</v>
      </c>
      <c r="L48" s="9" t="s">
        <v>16</v>
      </c>
      <c r="M48" s="9" t="s">
        <v>17</v>
      </c>
      <c r="N48" s="9" t="s">
        <v>18</v>
      </c>
      <c r="O48" s="82"/>
    </row>
    <row r="49" spans="2:30" ht="26.85" customHeight="1" x14ac:dyDescent="0.25">
      <c r="B49" s="235" t="s">
        <v>438</v>
      </c>
      <c r="C49" s="235"/>
      <c r="D49" s="235"/>
      <c r="E49" s="235"/>
      <c r="F49" s="820"/>
      <c r="G49" s="860"/>
      <c r="H49" s="387"/>
      <c r="I49" s="391"/>
      <c r="J49" s="249"/>
      <c r="K49" s="257"/>
      <c r="L49" s="257"/>
      <c r="M49" s="257"/>
      <c r="N49" s="257"/>
      <c r="O49" s="108"/>
    </row>
    <row r="50" spans="2:30" ht="26.85" customHeight="1" x14ac:dyDescent="0.25">
      <c r="B50" s="357" t="s">
        <v>453</v>
      </c>
      <c r="C50" s="348"/>
      <c r="D50" s="251" t="s">
        <v>367</v>
      </c>
      <c r="E50" s="251"/>
      <c r="F50" s="794">
        <f>'GROUP Emissions'!F52</f>
        <v>2233903</v>
      </c>
      <c r="G50" s="620">
        <v>3091889</v>
      </c>
      <c r="H50" s="192">
        <v>2990109</v>
      </c>
      <c r="I50" s="192">
        <v>1861768</v>
      </c>
      <c r="J50" s="192">
        <v>1799233</v>
      </c>
      <c r="K50" s="192">
        <v>2029191</v>
      </c>
      <c r="L50" s="192">
        <v>843571</v>
      </c>
      <c r="M50" s="192">
        <v>26503</v>
      </c>
      <c r="N50" s="192">
        <v>26503</v>
      </c>
      <c r="O50" s="116"/>
    </row>
    <row r="51" spans="2:30" ht="26.85" customHeight="1" x14ac:dyDescent="0.25">
      <c r="B51" s="357" t="s">
        <v>454</v>
      </c>
      <c r="C51" s="348"/>
      <c r="D51" s="193" t="s">
        <v>390</v>
      </c>
      <c r="E51" s="193"/>
      <c r="F51" s="683">
        <v>2843.76</v>
      </c>
      <c r="G51" s="861">
        <v>2843.76</v>
      </c>
      <c r="H51" s="197" t="s">
        <v>23</v>
      </c>
      <c r="I51" s="197" t="s">
        <v>23</v>
      </c>
      <c r="J51" s="197" t="s">
        <v>23</v>
      </c>
      <c r="K51" s="197" t="s">
        <v>23</v>
      </c>
      <c r="L51" s="197" t="s">
        <v>23</v>
      </c>
      <c r="M51" s="197" t="s">
        <v>23</v>
      </c>
      <c r="N51" s="197" t="s">
        <v>23</v>
      </c>
      <c r="O51" s="108"/>
    </row>
    <row r="52" spans="2:30" ht="26.85" customHeight="1" x14ac:dyDescent="0.25">
      <c r="B52" s="357" t="s">
        <v>455</v>
      </c>
      <c r="C52" s="348"/>
      <c r="D52" s="251" t="s">
        <v>31</v>
      </c>
      <c r="E52" s="251"/>
      <c r="F52" s="602">
        <v>1</v>
      </c>
      <c r="G52" s="608">
        <v>0.5</v>
      </c>
      <c r="H52" s="372" t="s">
        <v>23</v>
      </c>
      <c r="I52" s="372" t="s">
        <v>23</v>
      </c>
      <c r="J52" s="372" t="s">
        <v>23</v>
      </c>
      <c r="K52" s="372" t="s">
        <v>23</v>
      </c>
      <c r="L52" s="372" t="s">
        <v>23</v>
      </c>
      <c r="M52" s="372" t="s">
        <v>23</v>
      </c>
      <c r="N52" s="372" t="s">
        <v>23</v>
      </c>
    </row>
    <row r="53" spans="2:30" ht="26.85" customHeight="1" x14ac:dyDescent="0.2">
      <c r="B53" s="1006" t="s">
        <v>456</v>
      </c>
      <c r="C53" s="1006"/>
      <c r="D53" s="1006"/>
      <c r="E53" s="1006"/>
      <c r="F53" s="1006"/>
      <c r="G53" s="1006"/>
      <c r="H53" s="1009"/>
      <c r="I53" s="1009"/>
      <c r="J53" s="1009"/>
      <c r="K53" s="1009"/>
      <c r="L53" s="1009"/>
      <c r="M53" s="1009"/>
      <c r="N53" s="1009"/>
    </row>
    <row r="54" spans="2:30" ht="14.25" x14ac:dyDescent="0.2">
      <c r="B54" s="1006"/>
      <c r="C54" s="1006"/>
      <c r="D54" s="1006"/>
      <c r="E54" s="1006"/>
      <c r="F54" s="1006"/>
      <c r="G54" s="1009"/>
      <c r="H54" s="1009"/>
      <c r="I54" s="1009"/>
      <c r="J54" s="1009"/>
      <c r="K54" s="1009"/>
      <c r="L54" s="1009"/>
      <c r="M54" s="1009"/>
      <c r="N54" s="1009"/>
    </row>
    <row r="55" spans="2:30" x14ac:dyDescent="0.2">
      <c r="B55" s="120"/>
      <c r="C55" s="120"/>
      <c r="D55" s="18"/>
      <c r="E55" s="18"/>
      <c r="F55" s="18"/>
      <c r="G55" s="121"/>
      <c r="H55" s="11"/>
      <c r="I55" s="11"/>
      <c r="J55" s="11"/>
      <c r="K55" s="11"/>
      <c r="L55" s="11"/>
      <c r="M55" s="11"/>
      <c r="N55" s="11"/>
    </row>
    <row r="56" spans="2:30" s="37" customFormat="1" x14ac:dyDescent="0.2">
      <c r="B56" s="1006"/>
      <c r="C56" s="1006"/>
      <c r="D56" s="1006"/>
      <c r="E56" s="1006"/>
      <c r="F56" s="1006"/>
      <c r="G56" s="1006"/>
      <c r="H56" s="1006"/>
      <c r="I56" s="1006"/>
      <c r="J56" s="1006"/>
      <c r="K56" s="1006"/>
      <c r="L56" s="1006"/>
      <c r="M56" s="1006"/>
      <c r="N56" s="1006"/>
      <c r="O56" s="46"/>
      <c r="P56" s="29"/>
      <c r="Q56" s="29"/>
      <c r="R56" s="29"/>
      <c r="S56" s="29"/>
      <c r="T56" s="48"/>
      <c r="U56" s="48"/>
      <c r="V56" s="48"/>
      <c r="W56" s="48"/>
      <c r="X56" s="48"/>
      <c r="Y56" s="48"/>
      <c r="Z56" s="48"/>
      <c r="AA56" s="48"/>
      <c r="AB56" s="48"/>
      <c r="AC56" s="49"/>
      <c r="AD56" s="48"/>
    </row>
    <row r="57" spans="2:30" ht="14.25" x14ac:dyDescent="0.2">
      <c r="D57" s="609"/>
      <c r="E57" s="609"/>
      <c r="F57" s="609"/>
      <c r="G57" s="610"/>
      <c r="H57" s="610"/>
      <c r="I57" s="610"/>
      <c r="J57" s="610"/>
      <c r="K57" s="610"/>
      <c r="L57" s="610"/>
      <c r="M57" s="610"/>
      <c r="N57" s="610"/>
    </row>
    <row r="58" spans="2:30" ht="14.25" x14ac:dyDescent="0.2">
      <c r="D58" s="609"/>
      <c r="E58" s="609"/>
      <c r="F58" s="609"/>
      <c r="G58" s="610"/>
      <c r="H58" s="610"/>
      <c r="I58" s="610"/>
      <c r="J58" s="610"/>
      <c r="K58" s="610"/>
      <c r="L58" s="610"/>
      <c r="M58" s="610"/>
      <c r="N58" s="610"/>
    </row>
    <row r="59" spans="2:30" ht="14.25" x14ac:dyDescent="0.2">
      <c r="D59" s="609"/>
      <c r="E59" s="609"/>
      <c r="F59" s="609"/>
      <c r="G59" s="610"/>
      <c r="H59" s="610"/>
      <c r="I59" s="610"/>
      <c r="J59" s="610"/>
      <c r="K59" s="610"/>
      <c r="L59" s="610"/>
      <c r="M59" s="610"/>
      <c r="N59" s="610"/>
    </row>
    <row r="60" spans="2:30" ht="14.25" x14ac:dyDescent="0.2">
      <c r="D60" s="609"/>
      <c r="E60" s="609"/>
      <c r="F60" s="609"/>
      <c r="G60" s="610"/>
      <c r="H60" s="610"/>
      <c r="I60" s="610"/>
      <c r="J60" s="610"/>
      <c r="K60" s="610"/>
      <c r="L60" s="610"/>
      <c r="M60" s="610"/>
      <c r="N60" s="610"/>
    </row>
    <row r="61" spans="2:30" ht="14.25" x14ac:dyDescent="0.2">
      <c r="D61" s="609"/>
      <c r="E61" s="609"/>
      <c r="F61" s="609"/>
      <c r="G61" s="610"/>
      <c r="H61" s="610"/>
      <c r="I61" s="610"/>
      <c r="J61" s="610"/>
      <c r="K61" s="610"/>
      <c r="L61" s="610"/>
      <c r="M61" s="610"/>
      <c r="N61" s="610"/>
    </row>
  </sheetData>
  <sheetProtection algorithmName="SHA-512" hashValue="Yrh/hgQ6pHApW9PSPkoJH9JUQJ2mfMcevQJHV6IfJh6cOLCx9ezcUMQLLrKXWyQtCFIU2o474lUVhZ8mbczO4Q==" saltValue="3lGGVwW1BRvDWajIU52feA==" spinCount="100000" sheet="1" objects="1" scenarios="1"/>
  <protectedRanges>
    <protectedRange algorithmName="SHA-512" hashValue="SBmVKL1PmbJO4BEGzBE2xSftKq5NiG1q1emuti/GVfceCNi5g6XOmQ1IMu3DBdkx1ZhRvUtbpcPo4ef6OYQSig==" saltValue="08oHF2zO3UoJG6Nlb1OgOA==" spinCount="100000" sqref="I5:J5 I8:J9 J48:J49 I17:O17 I50:J50 G55 H51:N51 I6:O6 G46 I11:J16 J43:J46 I18:J23 I7:N7 K26:N41 I10:O10 I25:J25 G50:G52 I44:I49 G42:N42 F41:J41 F26:J28 F30:J32 F24:N24 F51" name="FY20_3_2_1"/>
    <protectedRange algorithmName="SHA-512" hashValue="SBmVKL1PmbJO4BEGzBE2xSftKq5NiG1q1emuti/GVfceCNi5g6XOmQ1IMu3DBdkx1ZhRvUtbpcPo4ef6OYQSig==" saltValue="08oHF2zO3UoJG6Nlb1OgOA==" spinCount="100000" sqref="F6:G6" name="FY20_3_2_1_2"/>
    <protectedRange algorithmName="SHA-512" hashValue="SBmVKL1PmbJO4BEGzBE2xSftKq5NiG1q1emuti/GVfceCNi5g6XOmQ1IMu3DBdkx1ZhRvUtbpcPo4ef6OYQSig==" saltValue="08oHF2zO3UoJG6Nlb1OgOA==" spinCount="100000" sqref="F8:G8" name="FY20_3_2_1_4"/>
    <protectedRange algorithmName="SHA-512" hashValue="SBmVKL1PmbJO4BEGzBE2xSftKq5NiG1q1emuti/GVfceCNi5g6XOmQ1IMu3DBdkx1ZhRvUtbpcPo4ef6OYQSig==" saltValue="08oHF2zO3UoJG6Nlb1OgOA==" spinCount="100000" sqref="F10:G10" name="FY20_3_2_1_7"/>
    <protectedRange algorithmName="SHA-512" hashValue="SBmVKL1PmbJO4BEGzBE2xSftKq5NiG1q1emuti/GVfceCNi5g6XOmQ1IMu3DBdkx1ZhRvUtbpcPo4ef6OYQSig==" saltValue="08oHF2zO3UoJG6Nlb1OgOA==" spinCount="100000" sqref="F12:G15" name="FY20_3_2_1_8"/>
    <protectedRange algorithmName="SHA-512" hashValue="SBmVKL1PmbJO4BEGzBE2xSftKq5NiG1q1emuti/GVfceCNi5g6XOmQ1IMu3DBdkx1ZhRvUtbpcPo4ef6OYQSig==" saltValue="08oHF2zO3UoJG6Nlb1OgOA==" spinCount="100000" sqref="F17:G17" name="FY20_3_2_1_9"/>
    <protectedRange algorithmName="SHA-512" hashValue="SBmVKL1PmbJO4BEGzBE2xSftKq5NiG1q1emuti/GVfceCNi5g6XOmQ1IMu3DBdkx1ZhRvUtbpcPo4ef6OYQSig==" saltValue="08oHF2zO3UoJG6Nlb1OgOA==" spinCount="100000" sqref="F19:G22" name="FY20_3_2_1_10"/>
    <protectedRange algorithmName="SHA-512" hashValue="SBmVKL1PmbJO4BEGzBE2xSftKq5NiG1q1emuti/GVfceCNi5g6XOmQ1IMu3DBdkx1ZhRvUtbpcPo4ef6OYQSig==" saltValue="08oHF2zO3UoJG6Nlb1OgOA==" spinCount="100000" sqref="G45" name="FY20_3_2_1_15"/>
  </protectedRanges>
  <mergeCells count="5">
    <mergeCell ref="B56:N56"/>
    <mergeCell ref="B42:N42"/>
    <mergeCell ref="B54:N54"/>
    <mergeCell ref="B53:N53"/>
    <mergeCell ref="B2:C2"/>
  </mergeCells>
  <pageMargins left="0.7" right="0.7" top="0.75" bottom="0.75" header="0.3" footer="0.3"/>
  <pageSetup paperSize="9" scale="28" orientation="portrait" r:id="rId1"/>
  <headerFooter>
    <oddFooter>&amp;L_x000D_&amp;1#&amp;"Calibri"&amp;8&amp;K000000 Unclassified</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73980-26FD-45DF-9BEC-13FB72879539}">
  <sheetPr codeName="Sheet13">
    <tabColor theme="5" tint="0.79998168889431442"/>
    <pageSetUpPr fitToPage="1"/>
  </sheetPr>
  <dimension ref="B1:R49"/>
  <sheetViews>
    <sheetView topLeftCell="A2" zoomScale="78" zoomScaleNormal="78" workbookViewId="0">
      <selection activeCell="I31" sqref="I31"/>
    </sheetView>
  </sheetViews>
  <sheetFormatPr defaultColWidth="8.5703125" defaultRowHeight="15" x14ac:dyDescent="0.2"/>
  <cols>
    <col min="1" max="1" width="4.42578125" style="28" customWidth="1"/>
    <col min="2" max="2" width="68.42578125" style="28" customWidth="1"/>
    <col min="3" max="3" width="20.5703125" style="28" customWidth="1"/>
    <col min="4" max="4" width="8.5703125" style="15" customWidth="1"/>
    <col min="5" max="5" width="15.42578125" style="15" customWidth="1"/>
    <col min="6" max="6" width="24.140625" style="15" customWidth="1"/>
    <col min="7" max="7" width="21.5703125" style="44" customWidth="1"/>
    <col min="8" max="13" width="21.5703125" style="16" customWidth="1"/>
    <col min="14" max="14" width="15.5703125" style="28" customWidth="1"/>
    <col min="15" max="16384" width="8.5703125" style="28"/>
  </cols>
  <sheetData>
    <row r="1" spans="2:18" ht="24.6" customHeight="1" x14ac:dyDescent="0.2"/>
    <row r="2" spans="2:18" ht="81" customHeight="1" x14ac:dyDescent="0.2">
      <c r="B2" s="343"/>
      <c r="C2" s="917" t="s">
        <v>457</v>
      </c>
      <c r="D2" s="917"/>
      <c r="E2" s="917"/>
      <c r="F2" s="917"/>
      <c r="G2" s="917"/>
      <c r="H2" s="337"/>
      <c r="I2" s="337"/>
      <c r="J2" s="337"/>
      <c r="K2" s="337"/>
      <c r="L2" s="337"/>
      <c r="M2" s="277"/>
      <c r="N2" s="122"/>
    </row>
    <row r="3" spans="2:18" ht="25.5" customHeight="1" x14ac:dyDescent="0.2">
      <c r="B3" s="70"/>
      <c r="C3" s="70"/>
      <c r="D3" s="98"/>
      <c r="E3" s="98"/>
      <c r="F3" s="98"/>
      <c r="G3" s="71"/>
      <c r="H3" s="119"/>
      <c r="I3" s="119"/>
      <c r="J3" s="123"/>
      <c r="K3" s="123"/>
      <c r="L3" s="123"/>
      <c r="M3" s="123"/>
      <c r="N3" s="122"/>
    </row>
    <row r="4" spans="2:18" ht="26.85" customHeight="1" x14ac:dyDescent="0.2">
      <c r="B4" s="6" t="s">
        <v>392</v>
      </c>
      <c r="C4" s="6"/>
      <c r="D4" s="7" t="s">
        <v>9</v>
      </c>
      <c r="E4" s="7"/>
      <c r="F4" s="8" t="s">
        <v>10</v>
      </c>
      <c r="G4" s="9" t="s">
        <v>11</v>
      </c>
      <c r="H4" s="9" t="s">
        <v>12</v>
      </c>
      <c r="I4" s="9" t="s">
        <v>13</v>
      </c>
      <c r="J4" s="9" t="s">
        <v>14</v>
      </c>
      <c r="K4" s="9" t="s">
        <v>15</v>
      </c>
      <c r="L4" s="9" t="s">
        <v>16</v>
      </c>
      <c r="M4" s="9" t="s">
        <v>17</v>
      </c>
      <c r="N4" s="81"/>
    </row>
    <row r="5" spans="2:18" ht="26.85" customHeight="1" x14ac:dyDescent="0.25">
      <c r="B5" s="235" t="s">
        <v>393</v>
      </c>
      <c r="C5" s="235"/>
      <c r="D5" s="235"/>
      <c r="E5" s="235"/>
      <c r="F5" s="236"/>
      <c r="G5" s="433"/>
      <c r="H5" s="259"/>
      <c r="I5" s="244"/>
      <c r="J5" s="199"/>
      <c r="K5" s="244"/>
      <c r="L5" s="244"/>
      <c r="M5" s="244"/>
      <c r="N5" s="124"/>
    </row>
    <row r="6" spans="2:18" ht="26.85" customHeight="1" x14ac:dyDescent="0.25">
      <c r="B6" s="350" t="s">
        <v>458</v>
      </c>
      <c r="C6" s="357"/>
      <c r="D6" s="251" t="s">
        <v>395</v>
      </c>
      <c r="E6" s="251"/>
      <c r="F6" s="794">
        <f>SUM(F8+F14)</f>
        <v>389.62959210809572</v>
      </c>
      <c r="G6" s="423">
        <f>SUM(G8+G14)</f>
        <v>415.63829999999996</v>
      </c>
      <c r="H6" s="423">
        <f t="shared" ref="H6:M6" si="0">H8+H14</f>
        <v>615</v>
      </c>
      <c r="I6" s="423">
        <f t="shared" si="0"/>
        <v>595</v>
      </c>
      <c r="J6" s="423">
        <f t="shared" si="0"/>
        <v>733</v>
      </c>
      <c r="K6" s="423">
        <f t="shared" si="0"/>
        <v>732</v>
      </c>
      <c r="L6" s="423">
        <f t="shared" si="0"/>
        <v>774</v>
      </c>
      <c r="M6" s="423">
        <f t="shared" si="0"/>
        <v>1213</v>
      </c>
      <c r="N6" s="125"/>
    </row>
    <row r="7" spans="2:18" ht="26.85" customHeight="1" x14ac:dyDescent="0.25">
      <c r="B7" s="235" t="s">
        <v>398</v>
      </c>
      <c r="C7" s="235"/>
      <c r="D7" s="235"/>
      <c r="E7" s="235"/>
      <c r="F7" s="233"/>
      <c r="G7" s="199"/>
      <c r="H7" s="423"/>
      <c r="I7" s="423"/>
      <c r="J7" s="423"/>
      <c r="K7" s="423"/>
      <c r="L7" s="423"/>
      <c r="M7" s="423"/>
      <c r="N7" s="124"/>
    </row>
    <row r="8" spans="2:18" ht="26.85" customHeight="1" x14ac:dyDescent="0.25">
      <c r="B8" s="357" t="s">
        <v>398</v>
      </c>
      <c r="C8" s="357"/>
      <c r="D8" s="251" t="s">
        <v>395</v>
      </c>
      <c r="E8" s="251"/>
      <c r="F8" s="794">
        <f>SUM(F10:F12)</f>
        <v>193.32081755670089</v>
      </c>
      <c r="G8" s="423">
        <f>SUM(G10:G12)</f>
        <v>210.46409999999997</v>
      </c>
      <c r="H8" s="423">
        <v>286</v>
      </c>
      <c r="I8" s="423">
        <v>265</v>
      </c>
      <c r="J8" s="423">
        <v>330</v>
      </c>
      <c r="K8" s="423">
        <v>327</v>
      </c>
      <c r="L8" s="423">
        <v>308</v>
      </c>
      <c r="M8" s="423">
        <v>416</v>
      </c>
      <c r="N8" s="127"/>
    </row>
    <row r="9" spans="2:18" ht="26.85" customHeight="1" x14ac:dyDescent="0.25">
      <c r="B9" s="235" t="s">
        <v>401</v>
      </c>
      <c r="C9" s="235"/>
      <c r="D9" s="235"/>
      <c r="E9" s="235"/>
      <c r="F9" s="233"/>
      <c r="G9" s="199"/>
      <c r="H9" s="423"/>
      <c r="I9" s="423"/>
      <c r="J9" s="423"/>
      <c r="K9" s="423"/>
      <c r="L9" s="423"/>
      <c r="M9" s="423"/>
      <c r="N9" s="126"/>
    </row>
    <row r="10" spans="2:18" ht="26.85" customHeight="1" x14ac:dyDescent="0.25">
      <c r="B10" s="357" t="s">
        <v>402</v>
      </c>
      <c r="C10" s="357"/>
      <c r="D10" s="251" t="s">
        <v>395</v>
      </c>
      <c r="E10" s="251"/>
      <c r="F10" s="794">
        <f>'GROUP Emissions'!F13*'PLUS ES Emissions'!F46</f>
        <v>5.1714640292780523</v>
      </c>
      <c r="G10" s="620">
        <f>SUM('GROUP Emissions'!G13)*2.31%</f>
        <v>5.2667999999999999</v>
      </c>
      <c r="H10" s="423">
        <v>8</v>
      </c>
      <c r="I10" s="423">
        <v>7</v>
      </c>
      <c r="J10" s="423">
        <v>8</v>
      </c>
      <c r="K10" s="423">
        <v>7</v>
      </c>
      <c r="L10" s="423">
        <v>13</v>
      </c>
      <c r="M10" s="423">
        <v>18</v>
      </c>
      <c r="N10" s="127"/>
    </row>
    <row r="11" spans="2:18" ht="26.85" customHeight="1" x14ac:dyDescent="0.25">
      <c r="B11" s="357" t="s">
        <v>403</v>
      </c>
      <c r="C11" s="357"/>
      <c r="D11" s="251" t="s">
        <v>395</v>
      </c>
      <c r="E11" s="251"/>
      <c r="F11" s="794">
        <f>'GROUP Emissions'!F14*'PLUS ES Emissions'!F46</f>
        <v>188.14935352742285</v>
      </c>
      <c r="G11" s="620">
        <f>SUM('GROUP Emissions'!G14)*2.31%</f>
        <v>205.19729999999998</v>
      </c>
      <c r="H11" s="423">
        <v>278</v>
      </c>
      <c r="I11" s="423">
        <v>257</v>
      </c>
      <c r="J11" s="423">
        <v>322</v>
      </c>
      <c r="K11" s="423">
        <v>320</v>
      </c>
      <c r="L11" s="423">
        <v>294</v>
      </c>
      <c r="M11" s="423">
        <v>393</v>
      </c>
      <c r="N11" s="127"/>
    </row>
    <row r="12" spans="2:18" ht="26.85" customHeight="1" x14ac:dyDescent="0.25">
      <c r="B12" s="357" t="s">
        <v>101</v>
      </c>
      <c r="C12" s="357"/>
      <c r="D12" s="251" t="s">
        <v>395</v>
      </c>
      <c r="E12" s="251"/>
      <c r="F12" s="794">
        <v>0</v>
      </c>
      <c r="G12" s="620">
        <v>0</v>
      </c>
      <c r="H12" s="423">
        <v>0</v>
      </c>
      <c r="I12" s="423">
        <v>0</v>
      </c>
      <c r="J12" s="423">
        <v>0</v>
      </c>
      <c r="K12" s="423">
        <v>0</v>
      </c>
      <c r="L12" s="423">
        <v>1</v>
      </c>
      <c r="M12" s="423">
        <v>5</v>
      </c>
      <c r="N12" s="127"/>
    </row>
    <row r="13" spans="2:18" ht="26.85" customHeight="1" x14ac:dyDescent="0.25">
      <c r="B13" s="235" t="s">
        <v>447</v>
      </c>
      <c r="C13" s="235"/>
      <c r="D13" s="235"/>
      <c r="E13" s="235"/>
      <c r="F13" s="233"/>
      <c r="G13" s="199"/>
      <c r="H13" s="423"/>
      <c r="I13" s="423"/>
      <c r="J13" s="423"/>
      <c r="K13" s="423"/>
      <c r="L13" s="423"/>
      <c r="M13" s="423"/>
      <c r="N13" s="124"/>
    </row>
    <row r="14" spans="2:18" ht="26.85" customHeight="1" x14ac:dyDescent="0.25">
      <c r="B14" s="357" t="s">
        <v>447</v>
      </c>
      <c r="C14" s="357"/>
      <c r="D14" s="251" t="s">
        <v>395</v>
      </c>
      <c r="E14" s="251"/>
      <c r="F14" s="794">
        <f>SUM(F16)</f>
        <v>196.30877455139486</v>
      </c>
      <c r="G14" s="423">
        <f>SUM(G16)</f>
        <v>205.17419999999998</v>
      </c>
      <c r="H14" s="423">
        <f t="shared" ref="H14:M14" si="1">H16</f>
        <v>329</v>
      </c>
      <c r="I14" s="423">
        <f>I16</f>
        <v>330</v>
      </c>
      <c r="J14" s="423">
        <f t="shared" si="1"/>
        <v>403</v>
      </c>
      <c r="K14" s="423">
        <f t="shared" si="1"/>
        <v>405</v>
      </c>
      <c r="L14" s="423">
        <f t="shared" si="1"/>
        <v>466</v>
      </c>
      <c r="M14" s="423">
        <f t="shared" si="1"/>
        <v>797</v>
      </c>
      <c r="N14" s="127"/>
      <c r="R14" s="469"/>
    </row>
    <row r="15" spans="2:18" ht="26.85" customHeight="1" x14ac:dyDescent="0.25">
      <c r="B15" s="235" t="s">
        <v>407</v>
      </c>
      <c r="C15" s="235"/>
      <c r="D15" s="235"/>
      <c r="E15" s="235"/>
      <c r="F15" s="236"/>
      <c r="G15" s="433"/>
      <c r="H15" s="423"/>
      <c r="I15" s="423"/>
      <c r="J15" s="423"/>
      <c r="K15" s="423"/>
      <c r="L15" s="423"/>
      <c r="M15" s="423"/>
      <c r="N15" s="126"/>
    </row>
    <row r="16" spans="2:18" ht="26.85" customHeight="1" x14ac:dyDescent="0.2">
      <c r="B16" s="357" t="s">
        <v>448</v>
      </c>
      <c r="C16" s="357"/>
      <c r="D16" s="251" t="s">
        <v>395</v>
      </c>
      <c r="E16" s="251"/>
      <c r="F16" s="862">
        <f>'GROUP Emissions'!F21*'PLUS ES Emissions'!F46</f>
        <v>196.30877455139486</v>
      </c>
      <c r="G16" s="620">
        <f>SUM('GROUP Emissions'!G21)*2.31%</f>
        <v>205.17419999999998</v>
      </c>
      <c r="H16" s="423">
        <v>329</v>
      </c>
      <c r="I16" s="423">
        <v>330</v>
      </c>
      <c r="J16" s="423">
        <v>403</v>
      </c>
      <c r="K16" s="423">
        <v>405</v>
      </c>
      <c r="L16" s="423">
        <v>466</v>
      </c>
      <c r="M16" s="423">
        <v>797</v>
      </c>
      <c r="N16" s="127"/>
    </row>
    <row r="17" spans="2:15" ht="26.85" customHeight="1" x14ac:dyDescent="0.25">
      <c r="B17" s="235" t="s">
        <v>412</v>
      </c>
      <c r="C17" s="235"/>
      <c r="D17" s="235"/>
      <c r="E17" s="235"/>
      <c r="F17" s="236"/>
      <c r="G17" s="433"/>
      <c r="H17" s="259"/>
      <c r="I17" s="257"/>
      <c r="J17" s="249"/>
      <c r="K17" s="257"/>
      <c r="L17" s="257"/>
      <c r="M17" s="257"/>
      <c r="N17" s="126"/>
    </row>
    <row r="18" spans="2:15" ht="26.85" customHeight="1" x14ac:dyDescent="0.25">
      <c r="B18" s="357" t="s">
        <v>459</v>
      </c>
      <c r="C18" s="357"/>
      <c r="D18" s="251" t="s">
        <v>395</v>
      </c>
      <c r="E18" s="251"/>
      <c r="F18" s="794">
        <f>SUM('GROUP Emissions'!F26)*F46</f>
        <v>8481.1780237314306</v>
      </c>
      <c r="G18" s="423">
        <f>SUM('GROUP Emissions'!G26)*G46</f>
        <v>8539.996142719383</v>
      </c>
      <c r="H18" s="423">
        <f>SUM('GROUP Emissions'!H26)*H46</f>
        <v>12532.951012410191</v>
      </c>
      <c r="I18" s="423">
        <f>SUM('GROUP Emissions'!I26)*I46</f>
        <v>11594.23087431694</v>
      </c>
      <c r="J18" s="423">
        <f>SUM(J20:J26)</f>
        <v>13695.341036414566</v>
      </c>
      <c r="K18" s="372" t="s">
        <v>23</v>
      </c>
      <c r="L18" s="372" t="s">
        <v>23</v>
      </c>
      <c r="M18" s="617" t="s">
        <v>23</v>
      </c>
      <c r="N18" s="127"/>
    </row>
    <row r="19" spans="2:15" ht="26.85" customHeight="1" x14ac:dyDescent="0.25">
      <c r="B19" s="231" t="s">
        <v>414</v>
      </c>
      <c r="C19" s="231"/>
      <c r="D19" s="180"/>
      <c r="E19" s="180"/>
      <c r="F19" s="769"/>
      <c r="G19" s="217"/>
      <c r="H19" s="258"/>
      <c r="I19" s="257"/>
      <c r="J19" s="257"/>
      <c r="K19" s="257"/>
      <c r="L19" s="191"/>
      <c r="M19" s="191"/>
    </row>
    <row r="20" spans="2:15" ht="26.85" customHeight="1" x14ac:dyDescent="0.25">
      <c r="B20" s="345" t="s">
        <v>415</v>
      </c>
      <c r="C20" s="345"/>
      <c r="D20" s="251" t="s">
        <v>395</v>
      </c>
      <c r="E20" s="251"/>
      <c r="F20" s="809" t="s">
        <v>219</v>
      </c>
      <c r="G20" s="181" t="s">
        <v>219</v>
      </c>
      <c r="H20" s="181" t="s">
        <v>219</v>
      </c>
      <c r="I20" s="181" t="s">
        <v>219</v>
      </c>
      <c r="J20" s="219">
        <f>SUM('GROUP Emissions'!J28)*J46</f>
        <v>599.29341736694676</v>
      </c>
      <c r="K20" s="372" t="s">
        <v>23</v>
      </c>
      <c r="L20" s="372" t="s">
        <v>23</v>
      </c>
      <c r="M20" s="372" t="s">
        <v>23</v>
      </c>
      <c r="N20" s="128"/>
    </row>
    <row r="21" spans="2:15" ht="26.85" customHeight="1" x14ac:dyDescent="0.25">
      <c r="B21" s="345" t="s">
        <v>416</v>
      </c>
      <c r="C21" s="345"/>
      <c r="D21" s="251" t="s">
        <v>395</v>
      </c>
      <c r="E21" s="251"/>
      <c r="F21" s="809" t="s">
        <v>219</v>
      </c>
      <c r="G21" s="181" t="s">
        <v>219</v>
      </c>
      <c r="H21" s="181" t="s">
        <v>219</v>
      </c>
      <c r="I21" s="181" t="s">
        <v>219</v>
      </c>
      <c r="J21" s="423">
        <f>SUM('GROUP Emissions'!J29)*J46</f>
        <v>6995.3319327731097</v>
      </c>
      <c r="K21" s="372" t="s">
        <v>23</v>
      </c>
      <c r="L21" s="372" t="s">
        <v>23</v>
      </c>
      <c r="M21" s="372" t="s">
        <v>23</v>
      </c>
    </row>
    <row r="22" spans="2:15" ht="26.85" customHeight="1" x14ac:dyDescent="0.25">
      <c r="B22" s="345" t="s">
        <v>417</v>
      </c>
      <c r="C22" s="345"/>
      <c r="D22" s="251" t="s">
        <v>395</v>
      </c>
      <c r="E22" s="251"/>
      <c r="F22" s="809" t="s">
        <v>219</v>
      </c>
      <c r="G22" s="181" t="s">
        <v>219</v>
      </c>
      <c r="H22" s="181" t="s">
        <v>219</v>
      </c>
      <c r="I22" s="181" t="s">
        <v>219</v>
      </c>
      <c r="J22" s="423">
        <f>SUM('GROUP Emissions'!J30)*J46</f>
        <v>5880.847338935574</v>
      </c>
      <c r="K22" s="372" t="s">
        <v>23</v>
      </c>
      <c r="L22" s="372" t="s">
        <v>23</v>
      </c>
      <c r="M22" s="372" t="s">
        <v>23</v>
      </c>
    </row>
    <row r="23" spans="2:15" ht="26.85" customHeight="1" x14ac:dyDescent="0.25">
      <c r="B23" s="345" t="s">
        <v>418</v>
      </c>
      <c r="C23" s="345"/>
      <c r="D23" s="251" t="s">
        <v>395</v>
      </c>
      <c r="E23" s="251"/>
      <c r="F23" s="809" t="s">
        <v>419</v>
      </c>
      <c r="G23" s="181" t="s">
        <v>419</v>
      </c>
      <c r="H23" s="181" t="s">
        <v>419</v>
      </c>
      <c r="I23" s="181" t="s">
        <v>419</v>
      </c>
      <c r="J23" s="407" t="s">
        <v>419</v>
      </c>
      <c r="K23" s="197" t="s">
        <v>23</v>
      </c>
      <c r="L23" s="197" t="s">
        <v>23</v>
      </c>
      <c r="M23" s="197" t="s">
        <v>23</v>
      </c>
      <c r="N23" s="129"/>
    </row>
    <row r="24" spans="2:15" ht="26.85" customHeight="1" x14ac:dyDescent="0.25">
      <c r="B24" s="345" t="s">
        <v>420</v>
      </c>
      <c r="C24" s="345"/>
      <c r="D24" s="251" t="s">
        <v>395</v>
      </c>
      <c r="E24" s="251"/>
      <c r="F24" s="809" t="s">
        <v>219</v>
      </c>
      <c r="G24" s="181" t="s">
        <v>219</v>
      </c>
      <c r="H24" s="181" t="s">
        <v>219</v>
      </c>
      <c r="I24" s="181" t="s">
        <v>219</v>
      </c>
      <c r="J24" s="561">
        <f>SUM('GROUP Emissions'!J32)*J46</f>
        <v>149.90686274509804</v>
      </c>
      <c r="K24" s="197" t="s">
        <v>23</v>
      </c>
      <c r="L24" s="197" t="s">
        <v>23</v>
      </c>
      <c r="M24" s="197" t="s">
        <v>23</v>
      </c>
    </row>
    <row r="25" spans="2:15" ht="26.85" customHeight="1" x14ac:dyDescent="0.25">
      <c r="B25" s="345" t="s">
        <v>421</v>
      </c>
      <c r="C25" s="345"/>
      <c r="D25" s="251" t="s">
        <v>395</v>
      </c>
      <c r="E25" s="251"/>
      <c r="F25" s="809" t="s">
        <v>219</v>
      </c>
      <c r="G25" s="181" t="s">
        <v>219</v>
      </c>
      <c r="H25" s="181" t="s">
        <v>219</v>
      </c>
      <c r="I25" s="181" t="s">
        <v>219</v>
      </c>
      <c r="J25" s="561">
        <f>SUM('GROUP Emissions'!J33)*J46</f>
        <v>4.0826330532212882</v>
      </c>
      <c r="K25" s="197" t="s">
        <v>23</v>
      </c>
      <c r="L25" s="197" t="s">
        <v>23</v>
      </c>
      <c r="M25" s="197" t="s">
        <v>23</v>
      </c>
      <c r="N25" s="127"/>
    </row>
    <row r="26" spans="2:15" ht="26.85" customHeight="1" x14ac:dyDescent="0.25">
      <c r="B26" s="345" t="s">
        <v>422</v>
      </c>
      <c r="C26" s="345"/>
      <c r="D26" s="251" t="s">
        <v>395</v>
      </c>
      <c r="E26" s="251"/>
      <c r="F26" s="809" t="s">
        <v>219</v>
      </c>
      <c r="G26" s="181" t="s">
        <v>219</v>
      </c>
      <c r="H26" s="181" t="s">
        <v>219</v>
      </c>
      <c r="I26" s="181" t="s">
        <v>219</v>
      </c>
      <c r="J26" s="219">
        <f>SUM('GROUP Emissions'!J34)*J46</f>
        <v>65.878851540616253</v>
      </c>
      <c r="K26" s="372" t="s">
        <v>23</v>
      </c>
      <c r="L26" s="372" t="s">
        <v>23</v>
      </c>
      <c r="M26" s="372" t="s">
        <v>23</v>
      </c>
    </row>
    <row r="27" spans="2:15" ht="26.85" customHeight="1" x14ac:dyDescent="0.25">
      <c r="B27" s="345" t="s">
        <v>423</v>
      </c>
      <c r="C27" s="345"/>
      <c r="D27" s="251" t="s">
        <v>395</v>
      </c>
      <c r="E27" s="251"/>
      <c r="F27" s="809" t="s">
        <v>424</v>
      </c>
      <c r="G27" s="181" t="s">
        <v>424</v>
      </c>
      <c r="H27" s="181" t="s">
        <v>424</v>
      </c>
      <c r="I27" s="181" t="s">
        <v>424</v>
      </c>
      <c r="J27" s="181" t="s">
        <v>424</v>
      </c>
      <c r="K27" s="197" t="s">
        <v>23</v>
      </c>
      <c r="L27" s="197" t="s">
        <v>23</v>
      </c>
      <c r="M27" s="197" t="s">
        <v>23</v>
      </c>
      <c r="N27" s="129"/>
    </row>
    <row r="28" spans="2:15" ht="26.85" customHeight="1" x14ac:dyDescent="0.25">
      <c r="B28" s="345" t="s">
        <v>425</v>
      </c>
      <c r="C28" s="345"/>
      <c r="D28" s="251" t="s">
        <v>395</v>
      </c>
      <c r="E28" s="251"/>
      <c r="F28" s="809" t="s">
        <v>424</v>
      </c>
      <c r="G28" s="181" t="s">
        <v>424</v>
      </c>
      <c r="H28" s="181" t="s">
        <v>424</v>
      </c>
      <c r="I28" s="181" t="s">
        <v>424</v>
      </c>
      <c r="J28" s="181" t="s">
        <v>424</v>
      </c>
      <c r="K28" s="197" t="s">
        <v>23</v>
      </c>
      <c r="L28" s="197" t="s">
        <v>23</v>
      </c>
      <c r="M28" s="197" t="s">
        <v>23</v>
      </c>
      <c r="N28" s="129"/>
    </row>
    <row r="29" spans="2:15" ht="26.85" customHeight="1" x14ac:dyDescent="0.25">
      <c r="B29" s="345" t="s">
        <v>426</v>
      </c>
      <c r="C29" s="345"/>
      <c r="D29" s="251" t="s">
        <v>395</v>
      </c>
      <c r="E29" s="251"/>
      <c r="F29" s="809" t="s">
        <v>424</v>
      </c>
      <c r="G29" s="181" t="s">
        <v>424</v>
      </c>
      <c r="H29" s="181" t="s">
        <v>424</v>
      </c>
      <c r="I29" s="181" t="s">
        <v>424</v>
      </c>
      <c r="J29" s="181" t="s">
        <v>424</v>
      </c>
      <c r="K29" s="197" t="s">
        <v>23</v>
      </c>
      <c r="L29" s="197" t="s">
        <v>23</v>
      </c>
      <c r="M29" s="197" t="s">
        <v>23</v>
      </c>
      <c r="N29" s="129"/>
    </row>
    <row r="30" spans="2:15" ht="26.85" customHeight="1" x14ac:dyDescent="0.25">
      <c r="B30" s="345" t="s">
        <v>427</v>
      </c>
      <c r="C30" s="345"/>
      <c r="D30" s="251" t="s">
        <v>395</v>
      </c>
      <c r="E30" s="251"/>
      <c r="F30" s="809" t="s">
        <v>424</v>
      </c>
      <c r="G30" s="181" t="s">
        <v>424</v>
      </c>
      <c r="H30" s="181" t="s">
        <v>424</v>
      </c>
      <c r="I30" s="181" t="s">
        <v>424</v>
      </c>
      <c r="J30" s="181" t="s">
        <v>424</v>
      </c>
      <c r="K30" s="197" t="s">
        <v>23</v>
      </c>
      <c r="L30" s="197" t="s">
        <v>23</v>
      </c>
      <c r="M30" s="197" t="s">
        <v>23</v>
      </c>
      <c r="N30" s="129"/>
    </row>
    <row r="31" spans="2:15" ht="26.85" customHeight="1" x14ac:dyDescent="0.25">
      <c r="B31" s="345" t="s">
        <v>428</v>
      </c>
      <c r="C31" s="345"/>
      <c r="D31" s="251" t="s">
        <v>395</v>
      </c>
      <c r="E31" s="251"/>
      <c r="F31" s="809" t="s">
        <v>424</v>
      </c>
      <c r="G31" s="181" t="s">
        <v>424</v>
      </c>
      <c r="H31" s="181" t="s">
        <v>424</v>
      </c>
      <c r="I31" s="181" t="s">
        <v>424</v>
      </c>
      <c r="J31" s="181" t="s">
        <v>424</v>
      </c>
      <c r="K31" s="197" t="s">
        <v>23</v>
      </c>
      <c r="L31" s="197" t="s">
        <v>23</v>
      </c>
      <c r="M31" s="197" t="s">
        <v>23</v>
      </c>
      <c r="N31" s="129"/>
      <c r="O31" s="181"/>
    </row>
    <row r="32" spans="2:15" ht="26.85" customHeight="1" x14ac:dyDescent="0.25">
      <c r="B32" s="345" t="s">
        <v>429</v>
      </c>
      <c r="C32" s="345"/>
      <c r="D32" s="251" t="s">
        <v>395</v>
      </c>
      <c r="E32" s="251"/>
      <c r="F32" s="809" t="s">
        <v>424</v>
      </c>
      <c r="G32" s="181" t="s">
        <v>424</v>
      </c>
      <c r="H32" s="181" t="s">
        <v>424</v>
      </c>
      <c r="I32" s="181" t="s">
        <v>424</v>
      </c>
      <c r="J32" s="181" t="s">
        <v>424</v>
      </c>
      <c r="K32" s="197" t="s">
        <v>23</v>
      </c>
      <c r="L32" s="197" t="s">
        <v>23</v>
      </c>
      <c r="M32" s="197" t="s">
        <v>23</v>
      </c>
      <c r="N32" s="129"/>
    </row>
    <row r="33" spans="2:17" ht="26.85" customHeight="1" x14ac:dyDescent="0.25">
      <c r="B33" s="345" t="s">
        <v>430</v>
      </c>
      <c r="C33" s="345"/>
      <c r="D33" s="251" t="s">
        <v>395</v>
      </c>
      <c r="E33" s="251"/>
      <c r="F33" s="809" t="s">
        <v>424</v>
      </c>
      <c r="G33" s="181" t="s">
        <v>424</v>
      </c>
      <c r="H33" s="181" t="s">
        <v>424</v>
      </c>
      <c r="I33" s="181" t="s">
        <v>424</v>
      </c>
      <c r="J33" s="181" t="s">
        <v>424</v>
      </c>
      <c r="K33" s="197" t="s">
        <v>23</v>
      </c>
      <c r="L33" s="197" t="s">
        <v>23</v>
      </c>
      <c r="M33" s="197" t="s">
        <v>23</v>
      </c>
      <c r="N33" s="129"/>
    </row>
    <row r="34" spans="2:17" ht="26.85" customHeight="1" x14ac:dyDescent="0.25">
      <c r="B34" s="345" t="s">
        <v>431</v>
      </c>
      <c r="C34" s="345"/>
      <c r="D34" s="251" t="s">
        <v>395</v>
      </c>
      <c r="E34" s="251"/>
      <c r="F34" s="809" t="s">
        <v>424</v>
      </c>
      <c r="G34" s="181" t="s">
        <v>424</v>
      </c>
      <c r="H34" s="181" t="s">
        <v>424</v>
      </c>
      <c r="I34" s="181" t="s">
        <v>424</v>
      </c>
      <c r="J34" s="181" t="s">
        <v>424</v>
      </c>
      <c r="K34" s="197" t="s">
        <v>23</v>
      </c>
      <c r="L34" s="197" t="s">
        <v>23</v>
      </c>
      <c r="M34" s="197" t="s">
        <v>23</v>
      </c>
      <c r="N34" s="129"/>
    </row>
    <row r="35" spans="2:17" ht="26.85" customHeight="1" x14ac:dyDescent="0.25">
      <c r="B35" s="235" t="s">
        <v>450</v>
      </c>
      <c r="C35" s="235"/>
      <c r="D35" s="251" t="s">
        <v>395</v>
      </c>
      <c r="E35" s="251"/>
      <c r="F35" s="809" t="s">
        <v>219</v>
      </c>
      <c r="G35" s="181" t="s">
        <v>219</v>
      </c>
      <c r="H35" s="181" t="s">
        <v>219</v>
      </c>
      <c r="I35" s="181" t="s">
        <v>219</v>
      </c>
      <c r="J35" s="620">
        <f>SUM(J20:J34)</f>
        <v>13695.341036414566</v>
      </c>
      <c r="K35" s="197" t="s">
        <v>23</v>
      </c>
      <c r="L35" s="197" t="s">
        <v>23</v>
      </c>
      <c r="M35" s="197" t="s">
        <v>23</v>
      </c>
    </row>
    <row r="36" spans="2:17" ht="56.85" customHeight="1" x14ac:dyDescent="0.2">
      <c r="B36" s="1010" t="s">
        <v>460</v>
      </c>
      <c r="C36" s="1010"/>
      <c r="D36" s="1010"/>
      <c r="E36" s="1010"/>
      <c r="F36" s="1010"/>
      <c r="G36" s="1010"/>
      <c r="H36" s="1010"/>
      <c r="I36" s="1010"/>
      <c r="J36" s="1010"/>
      <c r="K36" s="1011"/>
      <c r="L36" s="1011"/>
      <c r="M36" s="1011"/>
    </row>
    <row r="37" spans="2:17" ht="50.25" customHeight="1" x14ac:dyDescent="0.25">
      <c r="B37" s="655"/>
      <c r="C37" s="655"/>
      <c r="D37" s="98"/>
      <c r="E37" s="98"/>
      <c r="F37" s="98"/>
      <c r="G37" s="669"/>
      <c r="H37" s="669"/>
      <c r="I37" s="669"/>
      <c r="J37" s="664"/>
      <c r="K37" s="664"/>
      <c r="L37" s="664"/>
      <c r="M37" s="656"/>
    </row>
    <row r="38" spans="2:17" ht="26.85" customHeight="1" x14ac:dyDescent="0.3">
      <c r="B38" s="646" t="s">
        <v>434</v>
      </c>
      <c r="C38" s="133"/>
      <c r="D38" s="7" t="s">
        <v>9</v>
      </c>
      <c r="E38" s="7"/>
      <c r="F38" s="8" t="s">
        <v>10</v>
      </c>
      <c r="G38" s="9" t="s">
        <v>11</v>
      </c>
      <c r="H38" s="9" t="s">
        <v>12</v>
      </c>
      <c r="I38" s="9" t="s">
        <v>13</v>
      </c>
      <c r="J38" s="9" t="s">
        <v>14</v>
      </c>
      <c r="K38" s="9" t="s">
        <v>15</v>
      </c>
      <c r="L38" s="9" t="s">
        <v>16</v>
      </c>
      <c r="M38" s="9" t="s">
        <v>17</v>
      </c>
    </row>
    <row r="39" spans="2:17" ht="26.85" customHeight="1" x14ac:dyDescent="0.25">
      <c r="B39" s="253" t="s">
        <v>435</v>
      </c>
      <c r="C39" s="253"/>
      <c r="D39" s="196"/>
      <c r="E39" s="196"/>
      <c r="F39" s="858"/>
      <c r="G39" s="852"/>
      <c r="H39" s="430"/>
      <c r="I39" s="391"/>
      <c r="J39" s="421"/>
      <c r="K39" s="391"/>
      <c r="L39" s="391"/>
      <c r="M39" s="391"/>
    </row>
    <row r="40" spans="2:17" ht="26.85" customHeight="1" x14ac:dyDescent="0.25">
      <c r="B40" s="359" t="s">
        <v>436</v>
      </c>
      <c r="C40" s="359"/>
      <c r="D40" s="255" t="s">
        <v>410</v>
      </c>
      <c r="E40" s="255"/>
      <c r="F40" s="794">
        <v>3835</v>
      </c>
      <c r="G40" s="423">
        <v>4053.7948866277115</v>
      </c>
      <c r="H40" s="423">
        <v>4004.4963970776466</v>
      </c>
      <c r="I40" s="423">
        <v>4085.7733156951585</v>
      </c>
      <c r="J40" s="423">
        <v>4286.8394756267598</v>
      </c>
      <c r="K40" s="423">
        <v>4334.2900313659602</v>
      </c>
      <c r="L40" s="197" t="s">
        <v>23</v>
      </c>
      <c r="M40" s="197" t="s">
        <v>23</v>
      </c>
      <c r="N40" s="22"/>
    </row>
    <row r="41" spans="2:17" ht="50.85" hidden="1" customHeight="1" x14ac:dyDescent="0.2">
      <c r="B41" s="130"/>
      <c r="C41" s="130"/>
      <c r="D41" s="131"/>
      <c r="E41" s="131"/>
      <c r="F41" s="131"/>
      <c r="G41" s="103"/>
      <c r="H41" s="104"/>
      <c r="I41" s="105"/>
      <c r="J41" s="105"/>
      <c r="K41" s="105"/>
      <c r="L41" s="105"/>
      <c r="M41" s="105"/>
      <c r="N41" s="106"/>
    </row>
    <row r="42" spans="2:17" ht="20.85" hidden="1" customHeight="1" x14ac:dyDescent="0.3">
      <c r="B42" s="646" t="s">
        <v>461</v>
      </c>
      <c r="C42" s="133"/>
      <c r="D42" s="7" t="s">
        <v>9</v>
      </c>
      <c r="E42" s="7"/>
      <c r="F42" s="7" t="s">
        <v>10</v>
      </c>
      <c r="G42" s="8" t="s">
        <v>11</v>
      </c>
      <c r="H42" s="9" t="s">
        <v>12</v>
      </c>
      <c r="I42" s="9" t="s">
        <v>13</v>
      </c>
      <c r="J42" s="9" t="s">
        <v>14</v>
      </c>
      <c r="K42" s="9" t="s">
        <v>15</v>
      </c>
      <c r="L42" s="9" t="s">
        <v>16</v>
      </c>
      <c r="M42" s="9" t="s">
        <v>17</v>
      </c>
      <c r="N42" s="654"/>
    </row>
    <row r="43" spans="2:17" ht="18.600000000000001" hidden="1" customHeight="1" x14ac:dyDescent="0.2">
      <c r="B43" s="345" t="s">
        <v>462</v>
      </c>
      <c r="C43" s="251"/>
      <c r="D43" s="251" t="s">
        <v>463</v>
      </c>
      <c r="E43" s="251"/>
      <c r="F43" s="670">
        <v>3086.08</v>
      </c>
      <c r="G43" s="670">
        <f>'Ausgrid Workforce'!J5</f>
        <v>3039</v>
      </c>
      <c r="H43" s="419">
        <v>2958</v>
      </c>
      <c r="I43" s="419">
        <v>2836</v>
      </c>
      <c r="J43" s="419">
        <v>2750</v>
      </c>
      <c r="K43" s="419">
        <v>3051</v>
      </c>
      <c r="L43" s="419">
        <v>3494</v>
      </c>
      <c r="M43" s="419">
        <v>3607</v>
      </c>
    </row>
    <row r="44" spans="2:17" ht="18.600000000000001" hidden="1" customHeight="1" x14ac:dyDescent="0.2">
      <c r="B44" s="345" t="s">
        <v>464</v>
      </c>
      <c r="C44" s="251"/>
      <c r="D44" s="251" t="s">
        <v>463</v>
      </c>
      <c r="E44" s="251"/>
      <c r="F44" s="670">
        <v>72.599999999999994</v>
      </c>
      <c r="G44" s="670">
        <f>'PLUS ES Workforce'!J5</f>
        <v>72</v>
      </c>
      <c r="H44" s="419">
        <v>104</v>
      </c>
      <c r="I44" s="419">
        <v>92</v>
      </c>
      <c r="J44" s="419">
        <v>106</v>
      </c>
      <c r="K44" s="419">
        <v>115</v>
      </c>
      <c r="L44" s="419">
        <v>109</v>
      </c>
      <c r="M44" s="419">
        <v>158</v>
      </c>
      <c r="Q44" s="28">
        <v>97.686000000000007</v>
      </c>
    </row>
    <row r="45" spans="2:17" ht="18.600000000000001" hidden="1" customHeight="1" x14ac:dyDescent="0.2">
      <c r="B45" s="345" t="s">
        <v>465</v>
      </c>
      <c r="C45" s="648"/>
      <c r="D45" s="649"/>
      <c r="E45" s="190"/>
      <c r="F45" s="671">
        <f>SUM(F43:F44)</f>
        <v>3158.68</v>
      </c>
      <c r="G45" s="671">
        <f>SUM(G43:G44)</f>
        <v>3111</v>
      </c>
      <c r="H45" s="650">
        <f>SUM(H43:H44)</f>
        <v>3062</v>
      </c>
      <c r="I45" s="650">
        <f t="shared" ref="I45:M45" si="2">SUM(I43:I44)</f>
        <v>2928</v>
      </c>
      <c r="J45" s="650">
        <f t="shared" si="2"/>
        <v>2856</v>
      </c>
      <c r="K45" s="650">
        <f t="shared" si="2"/>
        <v>3166</v>
      </c>
      <c r="L45" s="650">
        <f t="shared" si="2"/>
        <v>3603</v>
      </c>
      <c r="M45" s="650">
        <f t="shared" si="2"/>
        <v>3765</v>
      </c>
    </row>
    <row r="46" spans="2:17" ht="18.600000000000001" hidden="1" customHeight="1" x14ac:dyDescent="0.2">
      <c r="B46" s="648"/>
      <c r="C46" s="648"/>
      <c r="D46" s="190" t="s">
        <v>31</v>
      </c>
      <c r="E46" s="190"/>
      <c r="F46" s="791">
        <f>F44/(F43+F44)</f>
        <v>2.2984284574569122E-2</v>
      </c>
      <c r="G46" s="783">
        <f t="shared" ref="G46:M46" si="3">G44/(G43+G44)</f>
        <v>2.3143683702989394E-2</v>
      </c>
      <c r="H46" s="651">
        <f t="shared" si="3"/>
        <v>3.3964728935336384E-2</v>
      </c>
      <c r="I46" s="651">
        <f t="shared" si="3"/>
        <v>3.1420765027322405E-2</v>
      </c>
      <c r="J46" s="651">
        <f t="shared" si="3"/>
        <v>3.711484593837535E-2</v>
      </c>
      <c r="K46" s="651">
        <f t="shared" si="3"/>
        <v>3.6323436512950093E-2</v>
      </c>
      <c r="L46" s="651">
        <f t="shared" si="3"/>
        <v>3.0252567305023591E-2</v>
      </c>
      <c r="M46" s="651">
        <f t="shared" si="3"/>
        <v>4.1965471447543159E-2</v>
      </c>
    </row>
    <row r="47" spans="2:17" ht="18.600000000000001" hidden="1" customHeight="1" x14ac:dyDescent="0.2">
      <c r="B47" s="652"/>
      <c r="C47" s="648"/>
      <c r="D47" s="190"/>
      <c r="E47" s="190"/>
      <c r="F47" s="190"/>
      <c r="G47" s="653"/>
      <c r="H47" s="191"/>
      <c r="I47" s="191"/>
      <c r="J47" s="191"/>
      <c r="K47" s="191"/>
      <c r="L47" s="191"/>
      <c r="M47" s="650">
        <f>M43+M44</f>
        <v>3765</v>
      </c>
    </row>
    <row r="48" spans="2:17" ht="18.600000000000001" hidden="1" customHeight="1" x14ac:dyDescent="0.2">
      <c r="B48" s="553" t="s">
        <v>466</v>
      </c>
      <c r="H48" s="10"/>
      <c r="M48" s="612"/>
    </row>
    <row r="49" spans="2:13" ht="18.600000000000001" customHeight="1" x14ac:dyDescent="0.2">
      <c r="B49" s="553"/>
      <c r="M49" s="611"/>
    </row>
  </sheetData>
  <sheetProtection algorithmName="SHA-512" hashValue="I8EDGlnYULX72CemDHxWRiTX1o/VfH4dIyYPN4V1bU2Z+ccqPpm33l7/CNplthHayrIJqJAwtj7OfxreD3GpHw==" saltValue="eISaXacCAHENRux7Ol67dw==" spinCount="100000" sheet="1" objects="1" scenarios="1"/>
  <protectedRanges>
    <protectedRange algorithmName="SHA-512" hashValue="SBmVKL1PmbJO4BEGzBE2xSftKq5NiG1q1emuti/GVfceCNi5g6XOmQ1IMu3DBdkx1ZhRvUtbpcPo4ef6OYQSig==" saltValue="08oHF2zO3UoJG6Nlb1OgOA==" spinCount="100000" sqref="K26 J19:K22" name="FY20_1_2_1"/>
    <protectedRange algorithmName="SHA-512" hashValue="SBmVKL1PmbJO4BEGzBE2xSftKq5NiG1q1emuti/GVfceCNi5g6XOmQ1IMu3DBdkx1ZhRvUtbpcPo4ef6OYQSig==" saltValue="08oHF2zO3UoJG6Nlb1OgOA==" spinCount="100000" sqref="I19 J24:M25 K27:N34 J35:M37 G16 K23:N23 J26 F10:G12 F8:G8 F6:G6 F18:M18 F14:G14" name="FY20_3_2_1"/>
    <protectedRange algorithmName="SHA-512" hashValue="SBmVKL1PmbJO4BEGzBE2xSftKq5NiG1q1emuti/GVfceCNi5g6XOmQ1IMu3DBdkx1ZhRvUtbpcPo4ef6OYQSig==" saltValue="08oHF2zO3UoJG6Nlb1OgOA==" spinCount="100000" sqref="I41:J41" name="FY20_3_2_1_2"/>
    <protectedRange algorithmName="SHA-512" hashValue="SBmVKL1PmbJO4BEGzBE2xSftKq5NiG1q1emuti/GVfceCNi5g6XOmQ1IMu3DBdkx1ZhRvUtbpcPo4ef6OYQSig==" saltValue="08oHF2zO3UoJG6Nlb1OgOA==" spinCount="100000" sqref="I20:I22 I24:I26 I35:I37" name="FY20_3_2_1_16"/>
    <protectedRange algorithmName="SHA-512" hashValue="SBmVKL1PmbJO4BEGzBE2xSftKq5NiG1q1emuti/GVfceCNi5g6XOmQ1IMu3DBdkx1ZhRvUtbpcPo4ef6OYQSig==" saltValue="08oHF2zO3UoJG6Nlb1OgOA==" spinCount="100000" sqref="H20:H22 H24:H26 H35:H37" name="FY20_3_2_1_17"/>
    <protectedRange algorithmName="SHA-512" hashValue="SBmVKL1PmbJO4BEGzBE2xSftKq5NiG1q1emuti/GVfceCNi5g6XOmQ1IMu3DBdkx1ZhRvUtbpcPo4ef6OYQSig==" saltValue="08oHF2zO3UoJG6Nlb1OgOA==" spinCount="100000" sqref="G35:G37 F20:G22 F24:G26 F35" name="FY20_3_2_1_18"/>
    <protectedRange algorithmName="SHA-512" hashValue="SBmVKL1PmbJO4BEGzBE2xSftKq5NiG1q1emuti/GVfceCNi5g6XOmQ1IMu3DBdkx1ZhRvUtbpcPo4ef6OYQSig==" saltValue="08oHF2zO3UoJG6Nlb1OgOA==" spinCount="100000" sqref="I38:J39 H40:N40 I42:J42" name="FY20_3_2_1_1"/>
    <protectedRange algorithmName="SHA-512" hashValue="SBmVKL1PmbJO4BEGzBE2xSftKq5NiG1q1emuti/GVfceCNi5g6XOmQ1IMu3DBdkx1ZhRvUtbpcPo4ef6OYQSig==" saltValue="08oHF2zO3UoJG6Nlb1OgOA==" spinCount="100000" sqref="G40" name="FY20_3_2_1_15_1"/>
  </protectedRanges>
  <mergeCells count="2">
    <mergeCell ref="B36:M36"/>
    <mergeCell ref="C2:G2"/>
  </mergeCells>
  <pageMargins left="0.7" right="0.7" top="0.75" bottom="0.75" header="0.3" footer="0.3"/>
  <pageSetup paperSize="9" scale="28" orientation="portrait" r:id="rId1"/>
  <headerFooter>
    <oddFooter>&amp;L_x000D_&amp;1#&amp;"Calibri"&amp;8&amp;K000000 Unclassified</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F74DE-742A-40FA-9594-9FD9E133352F}">
  <sheetPr codeName="Sheet8">
    <tabColor theme="4" tint="0.79998168889431442"/>
    <pageSetUpPr fitToPage="1"/>
  </sheetPr>
  <dimension ref="B1:N55"/>
  <sheetViews>
    <sheetView showGridLines="0" zoomScale="70" zoomScaleNormal="70" workbookViewId="0">
      <selection activeCell="B2" sqref="B2:G2"/>
    </sheetView>
  </sheetViews>
  <sheetFormatPr defaultColWidth="8.5703125" defaultRowHeight="15" x14ac:dyDescent="0.2"/>
  <cols>
    <col min="1" max="1" width="4.42578125" style="37" customWidth="1"/>
    <col min="2" max="2" width="60.42578125" style="37" customWidth="1"/>
    <col min="3" max="3" width="20.5703125" style="37" customWidth="1"/>
    <col min="4" max="4" width="10.140625" style="338" customWidth="1"/>
    <col min="5" max="5" width="15.42578125" style="338" customWidth="1"/>
    <col min="6" max="6" width="22.42578125" style="338" customWidth="1"/>
    <col min="7" max="14" width="21.5703125" style="68" customWidth="1"/>
    <col min="15" max="16384" width="8.5703125" style="37"/>
  </cols>
  <sheetData>
    <row r="1" spans="2:14" ht="24.6" customHeight="1" x14ac:dyDescent="0.2"/>
    <row r="2" spans="2:14" s="160" customFormat="1" ht="81" customHeight="1" x14ac:dyDescent="0.2">
      <c r="B2" s="916" t="s">
        <v>467</v>
      </c>
      <c r="C2" s="916"/>
      <c r="D2" s="916"/>
      <c r="E2" s="916"/>
      <c r="F2" s="916"/>
      <c r="G2" s="916"/>
      <c r="H2" s="277"/>
      <c r="I2" s="277"/>
      <c r="J2" s="277"/>
      <c r="K2" s="277"/>
      <c r="L2" s="277"/>
      <c r="M2" s="277"/>
      <c r="N2" s="277"/>
    </row>
    <row r="3" spans="2:14" ht="25.5" customHeight="1" x14ac:dyDescent="0.2">
      <c r="B3" s="161"/>
      <c r="C3" s="161"/>
      <c r="D3" s="3"/>
      <c r="E3" s="3"/>
      <c r="F3" s="3"/>
      <c r="G3" s="162"/>
      <c r="H3" s="162"/>
      <c r="I3" s="162"/>
      <c r="J3" s="162"/>
      <c r="K3" s="162"/>
      <c r="L3" s="162"/>
      <c r="M3" s="162"/>
      <c r="N3" s="162"/>
    </row>
    <row r="4" spans="2:14" ht="26.85" customHeight="1" x14ac:dyDescent="0.2">
      <c r="B4" s="6" t="s">
        <v>468</v>
      </c>
      <c r="C4" s="6"/>
      <c r="D4" s="164" t="s">
        <v>9</v>
      </c>
      <c r="E4" s="164"/>
      <c r="F4" s="8" t="s">
        <v>10</v>
      </c>
      <c r="G4" s="9" t="s">
        <v>11</v>
      </c>
      <c r="H4" s="9" t="s">
        <v>12</v>
      </c>
      <c r="I4" s="9" t="s">
        <v>13</v>
      </c>
      <c r="J4" s="9" t="s">
        <v>14</v>
      </c>
      <c r="K4" s="9" t="s">
        <v>15</v>
      </c>
      <c r="L4" s="9" t="s">
        <v>16</v>
      </c>
      <c r="M4" s="9" t="s">
        <v>17</v>
      </c>
      <c r="N4" s="9" t="s">
        <v>18</v>
      </c>
    </row>
    <row r="5" spans="2:14" ht="26.85" customHeight="1" x14ac:dyDescent="0.25">
      <c r="B5" s="198" t="s">
        <v>469</v>
      </c>
      <c r="C5" s="198"/>
      <c r="D5" s="286"/>
      <c r="E5" s="286"/>
      <c r="F5" s="872"/>
      <c r="G5" s="864"/>
      <c r="H5" s="468"/>
      <c r="I5" s="191"/>
      <c r="J5" s="191"/>
      <c r="K5" s="191"/>
      <c r="L5" s="191"/>
      <c r="M5" s="191"/>
      <c r="N5" s="191"/>
    </row>
    <row r="6" spans="2:14" ht="26.85" customHeight="1" x14ac:dyDescent="0.25">
      <c r="B6" s="347" t="s">
        <v>470</v>
      </c>
      <c r="C6" s="347"/>
      <c r="D6" s="286" t="s">
        <v>25</v>
      </c>
      <c r="E6" s="286"/>
      <c r="F6" s="233">
        <v>3.5</v>
      </c>
      <c r="G6" s="863">
        <v>3.5</v>
      </c>
      <c r="H6" s="411">
        <v>2.9</v>
      </c>
      <c r="I6" s="249">
        <v>4.4000000000000004</v>
      </c>
      <c r="J6" s="416">
        <v>5.7</v>
      </c>
      <c r="K6" s="416">
        <v>6.5</v>
      </c>
      <c r="L6" s="249">
        <v>7.4</v>
      </c>
      <c r="M6" s="249">
        <v>12.9</v>
      </c>
      <c r="N6" s="249">
        <v>15.1</v>
      </c>
    </row>
    <row r="7" spans="2:14" ht="26.85" customHeight="1" x14ac:dyDescent="0.25">
      <c r="B7" s="347" t="s">
        <v>471</v>
      </c>
      <c r="C7" s="347"/>
      <c r="D7" s="286" t="s">
        <v>25</v>
      </c>
      <c r="E7" s="286"/>
      <c r="F7" s="840">
        <v>2</v>
      </c>
      <c r="G7" s="863">
        <v>1.9</v>
      </c>
      <c r="H7" s="411">
        <v>1.3</v>
      </c>
      <c r="I7" s="249">
        <v>1.7</v>
      </c>
      <c r="J7" s="865">
        <v>1.2</v>
      </c>
      <c r="K7" s="865">
        <v>1.6</v>
      </c>
      <c r="L7" s="249">
        <v>1.7</v>
      </c>
      <c r="M7" s="249">
        <v>1.9</v>
      </c>
      <c r="N7" s="249">
        <v>3.3</v>
      </c>
    </row>
    <row r="8" spans="2:14" ht="26.85" customHeight="1" x14ac:dyDescent="0.25">
      <c r="B8" s="347" t="s">
        <v>472</v>
      </c>
      <c r="C8" s="347"/>
      <c r="D8" s="286" t="s">
        <v>25</v>
      </c>
      <c r="E8" s="286"/>
      <c r="F8" s="841">
        <v>1</v>
      </c>
      <c r="G8" s="617">
        <v>1</v>
      </c>
      <c r="H8" s="561">
        <v>0</v>
      </c>
      <c r="I8" s="249">
        <v>0</v>
      </c>
      <c r="J8" s="416">
        <v>0</v>
      </c>
      <c r="K8" s="416">
        <v>0</v>
      </c>
      <c r="L8" s="249">
        <v>1</v>
      </c>
      <c r="M8" s="249">
        <v>0</v>
      </c>
      <c r="N8" s="249">
        <v>0</v>
      </c>
    </row>
    <row r="9" spans="2:14" ht="40.700000000000003" customHeight="1" x14ac:dyDescent="0.2">
      <c r="B9" s="1012" t="s">
        <v>638</v>
      </c>
      <c r="C9" s="957"/>
      <c r="D9" s="957"/>
      <c r="E9" s="957"/>
      <c r="F9" s="957"/>
      <c r="G9" s="957"/>
      <c r="H9" s="957"/>
      <c r="I9" s="957"/>
      <c r="J9" s="957"/>
      <c r="K9" s="957"/>
      <c r="L9" s="957"/>
      <c r="M9" s="957"/>
      <c r="N9" s="957"/>
    </row>
    <row r="10" spans="2:14" ht="50.1" customHeight="1" x14ac:dyDescent="0.2">
      <c r="B10" s="28"/>
      <c r="C10" s="28"/>
      <c r="D10" s="3"/>
      <c r="E10" s="3"/>
      <c r="F10" s="3"/>
      <c r="G10" s="162"/>
      <c r="H10" s="165"/>
      <c r="I10" s="165"/>
      <c r="J10" s="166"/>
      <c r="K10" s="166"/>
      <c r="L10" s="165"/>
      <c r="M10" s="165"/>
      <c r="N10" s="165"/>
    </row>
    <row r="11" spans="2:14" ht="26.85" customHeight="1" x14ac:dyDescent="0.2">
      <c r="B11" s="6" t="s">
        <v>473</v>
      </c>
      <c r="C11" s="6"/>
      <c r="D11" s="164" t="s">
        <v>9</v>
      </c>
      <c r="E11" s="164"/>
      <c r="F11" s="8" t="s">
        <v>10</v>
      </c>
      <c r="G11" s="9" t="s">
        <v>11</v>
      </c>
      <c r="H11" s="9" t="s">
        <v>12</v>
      </c>
      <c r="I11" s="9" t="s">
        <v>13</v>
      </c>
      <c r="J11" s="9" t="s">
        <v>14</v>
      </c>
      <c r="K11" s="9" t="s">
        <v>15</v>
      </c>
      <c r="L11" s="9" t="s">
        <v>16</v>
      </c>
      <c r="M11" s="9" t="s">
        <v>17</v>
      </c>
      <c r="N11" s="9" t="s">
        <v>18</v>
      </c>
    </row>
    <row r="12" spans="2:14" ht="26.85" customHeight="1" x14ac:dyDescent="0.25">
      <c r="B12" s="198" t="s">
        <v>474</v>
      </c>
      <c r="C12" s="198"/>
      <c r="D12" s="286"/>
      <c r="E12" s="286"/>
      <c r="F12" s="872"/>
      <c r="G12" s="864"/>
      <c r="H12" s="468"/>
      <c r="I12" s="441"/>
      <c r="J12" s="441"/>
      <c r="K12" s="441"/>
      <c r="L12" s="441"/>
      <c r="M12" s="441"/>
      <c r="N12" s="441"/>
    </row>
    <row r="13" spans="2:14" ht="26.85" customHeight="1" x14ac:dyDescent="0.25">
      <c r="B13" s="347" t="s">
        <v>475</v>
      </c>
      <c r="C13" s="347"/>
      <c r="D13" s="286" t="s">
        <v>25</v>
      </c>
      <c r="E13" s="286"/>
      <c r="F13" s="841">
        <v>222</v>
      </c>
      <c r="G13" s="617">
        <v>240</v>
      </c>
      <c r="H13" s="561">
        <v>218</v>
      </c>
      <c r="I13" s="249">
        <v>206</v>
      </c>
      <c r="J13" s="416">
        <v>191</v>
      </c>
      <c r="K13" s="416">
        <v>232</v>
      </c>
      <c r="L13" s="249">
        <v>290</v>
      </c>
      <c r="M13" s="249">
        <v>279</v>
      </c>
      <c r="N13" s="249">
        <v>328</v>
      </c>
    </row>
    <row r="14" spans="2:14" ht="26.85" customHeight="1" x14ac:dyDescent="0.25">
      <c r="B14" s="347" t="s">
        <v>476</v>
      </c>
      <c r="C14" s="347"/>
      <c r="D14" s="286" t="s">
        <v>25</v>
      </c>
      <c r="E14" s="286"/>
      <c r="F14" s="841">
        <v>90</v>
      </c>
      <c r="G14" s="617">
        <v>101</v>
      </c>
      <c r="H14" s="561">
        <v>69</v>
      </c>
      <c r="I14" s="249">
        <v>91</v>
      </c>
      <c r="J14" s="416">
        <v>81</v>
      </c>
      <c r="K14" s="416">
        <v>93</v>
      </c>
      <c r="L14" s="249">
        <v>111</v>
      </c>
      <c r="M14" s="249">
        <v>112</v>
      </c>
      <c r="N14" s="249">
        <v>100</v>
      </c>
    </row>
    <row r="15" spans="2:14" ht="26.85" customHeight="1" x14ac:dyDescent="0.25">
      <c r="B15" s="347" t="s">
        <v>477</v>
      </c>
      <c r="C15" s="347"/>
      <c r="D15" s="286" t="s">
        <v>25</v>
      </c>
      <c r="E15" s="286"/>
      <c r="F15" s="841">
        <v>28</v>
      </c>
      <c r="G15" s="620">
        <v>26</v>
      </c>
      <c r="H15" s="561">
        <v>21</v>
      </c>
      <c r="I15" s="249">
        <v>32</v>
      </c>
      <c r="J15" s="416">
        <v>39</v>
      </c>
      <c r="K15" s="416">
        <v>41</v>
      </c>
      <c r="L15" s="249">
        <v>60</v>
      </c>
      <c r="M15" s="249">
        <v>102</v>
      </c>
      <c r="N15" s="249">
        <v>113</v>
      </c>
    </row>
    <row r="16" spans="2:14" ht="26.85" customHeight="1" x14ac:dyDescent="0.25">
      <c r="B16" s="347" t="s">
        <v>478</v>
      </c>
      <c r="C16" s="347"/>
      <c r="D16" s="286" t="s">
        <v>25</v>
      </c>
      <c r="E16" s="286"/>
      <c r="F16" s="841">
        <v>17</v>
      </c>
      <c r="G16" s="620">
        <v>14</v>
      </c>
      <c r="H16" s="561">
        <v>8</v>
      </c>
      <c r="I16" s="249">
        <v>13</v>
      </c>
      <c r="J16" s="249">
        <v>9</v>
      </c>
      <c r="K16" s="249">
        <v>12</v>
      </c>
      <c r="L16" s="249">
        <v>12</v>
      </c>
      <c r="M16" s="249">
        <v>14</v>
      </c>
      <c r="N16" s="249">
        <v>25</v>
      </c>
    </row>
    <row r="17" spans="2:14" ht="26.85" customHeight="1" x14ac:dyDescent="0.25">
      <c r="B17" s="345" t="s">
        <v>479</v>
      </c>
      <c r="C17" s="344"/>
      <c r="D17" s="248" t="s">
        <v>25</v>
      </c>
      <c r="E17" s="248"/>
      <c r="F17" s="841">
        <v>221</v>
      </c>
      <c r="G17" s="617">
        <v>212</v>
      </c>
      <c r="H17" s="197">
        <v>197</v>
      </c>
      <c r="I17" s="249">
        <v>234</v>
      </c>
      <c r="J17" s="197" t="s">
        <v>23</v>
      </c>
      <c r="K17" s="197" t="s">
        <v>23</v>
      </c>
      <c r="L17" s="197" t="s">
        <v>23</v>
      </c>
      <c r="M17" s="197" t="s">
        <v>23</v>
      </c>
      <c r="N17" s="197" t="s">
        <v>23</v>
      </c>
    </row>
    <row r="18" spans="2:14" ht="26.85" customHeight="1" x14ac:dyDescent="0.25">
      <c r="B18" s="231" t="s">
        <v>480</v>
      </c>
      <c r="C18" s="198"/>
      <c r="D18" s="286"/>
      <c r="E18" s="286"/>
      <c r="F18" s="841"/>
      <c r="G18" s="866"/>
      <c r="H18" s="561"/>
      <c r="I18" s="249"/>
      <c r="J18" s="249"/>
      <c r="K18" s="249"/>
      <c r="L18" s="249"/>
      <c r="M18" s="249"/>
      <c r="N18" s="249"/>
    </row>
    <row r="19" spans="2:14" ht="26.85" customHeight="1" x14ac:dyDescent="0.25">
      <c r="B19" s="345" t="s">
        <v>481</v>
      </c>
      <c r="C19" s="198"/>
      <c r="D19" s="286" t="s">
        <v>25</v>
      </c>
      <c r="E19" s="286"/>
      <c r="F19" s="841">
        <v>3278</v>
      </c>
      <c r="G19" s="620">
        <v>3160.35</v>
      </c>
      <c r="H19" s="197">
        <v>3036</v>
      </c>
      <c r="I19" s="197">
        <v>2900</v>
      </c>
      <c r="J19" s="197" t="s">
        <v>23</v>
      </c>
      <c r="K19" s="197" t="s">
        <v>23</v>
      </c>
      <c r="L19" s="197" t="s">
        <v>23</v>
      </c>
      <c r="M19" s="197" t="s">
        <v>23</v>
      </c>
      <c r="N19" s="197" t="s">
        <v>23</v>
      </c>
    </row>
    <row r="20" spans="2:14" ht="26.85" customHeight="1" x14ac:dyDescent="0.2">
      <c r="B20" s="345" t="s">
        <v>482</v>
      </c>
      <c r="C20" s="344"/>
      <c r="D20" s="286" t="s">
        <v>25</v>
      </c>
      <c r="E20" s="286"/>
      <c r="F20" s="873">
        <v>7</v>
      </c>
      <c r="G20" s="866">
        <v>2</v>
      </c>
      <c r="H20" s="197" t="s">
        <v>23</v>
      </c>
      <c r="I20" s="197" t="s">
        <v>23</v>
      </c>
      <c r="J20" s="197" t="s">
        <v>23</v>
      </c>
      <c r="K20" s="197" t="s">
        <v>23</v>
      </c>
      <c r="L20" s="197" t="s">
        <v>23</v>
      </c>
      <c r="M20" s="197" t="s">
        <v>23</v>
      </c>
      <c r="N20" s="197" t="s">
        <v>23</v>
      </c>
    </row>
    <row r="21" spans="2:14" ht="26.85" customHeight="1" x14ac:dyDescent="0.25">
      <c r="B21" s="345" t="s">
        <v>483</v>
      </c>
      <c r="C21" s="347"/>
      <c r="D21" s="286" t="s">
        <v>25</v>
      </c>
      <c r="E21" s="286"/>
      <c r="F21" s="841">
        <v>1200</v>
      </c>
      <c r="G21" s="867">
        <v>1047</v>
      </c>
      <c r="H21" s="868">
        <v>1047</v>
      </c>
      <c r="I21" s="868">
        <v>1047</v>
      </c>
      <c r="J21" s="868">
        <v>1047</v>
      </c>
      <c r="K21" s="868">
        <v>1052</v>
      </c>
      <c r="L21" s="868">
        <v>1052</v>
      </c>
      <c r="M21" s="869">
        <v>85</v>
      </c>
      <c r="N21" s="869">
        <v>85</v>
      </c>
    </row>
    <row r="22" spans="2:14" ht="26.85" customHeight="1" x14ac:dyDescent="0.25">
      <c r="B22" s="366" t="s">
        <v>484</v>
      </c>
      <c r="C22" s="366"/>
      <c r="D22" s="286" t="s">
        <v>25</v>
      </c>
      <c r="E22" s="286"/>
      <c r="F22" s="841">
        <v>99</v>
      </c>
      <c r="G22" s="867">
        <v>96</v>
      </c>
      <c r="H22" s="870">
        <v>102</v>
      </c>
      <c r="I22" s="869">
        <v>95</v>
      </c>
      <c r="J22" s="869">
        <v>102</v>
      </c>
      <c r="K22" s="869">
        <v>102</v>
      </c>
      <c r="L22" s="869">
        <v>112</v>
      </c>
      <c r="M22" s="869">
        <v>78</v>
      </c>
      <c r="N22" s="869">
        <v>70</v>
      </c>
    </row>
    <row r="23" spans="2:14" ht="26.85" customHeight="1" x14ac:dyDescent="0.2">
      <c r="B23" s="366" t="s">
        <v>485</v>
      </c>
      <c r="C23" s="366"/>
      <c r="D23" s="286" t="s">
        <v>25</v>
      </c>
      <c r="E23" s="286"/>
      <c r="F23" s="862">
        <v>3688</v>
      </c>
      <c r="G23" s="867">
        <v>1350</v>
      </c>
      <c r="H23" s="869">
        <v>0</v>
      </c>
      <c r="I23" s="869">
        <v>0</v>
      </c>
      <c r="J23" s="869">
        <v>0</v>
      </c>
      <c r="K23" s="869">
        <v>0</v>
      </c>
      <c r="L23" s="869">
        <v>640</v>
      </c>
      <c r="M23" s="869">
        <v>0</v>
      </c>
      <c r="N23" s="869">
        <v>589</v>
      </c>
    </row>
    <row r="24" spans="2:14" ht="26.85" customHeight="1" x14ac:dyDescent="0.25">
      <c r="B24" s="366" t="s">
        <v>486</v>
      </c>
      <c r="C24" s="366"/>
      <c r="D24" s="286" t="s">
        <v>25</v>
      </c>
      <c r="E24" s="286"/>
      <c r="F24" s="841">
        <v>1165</v>
      </c>
      <c r="G24" s="617">
        <v>1532</v>
      </c>
      <c r="H24" s="407">
        <v>1111</v>
      </c>
      <c r="I24" s="407">
        <v>1600</v>
      </c>
      <c r="J24" s="407">
        <v>1100</v>
      </c>
      <c r="K24" s="407">
        <v>1500</v>
      </c>
      <c r="L24" s="617" t="s">
        <v>23</v>
      </c>
      <c r="M24" s="617" t="s">
        <v>23</v>
      </c>
      <c r="N24" s="197" t="s">
        <v>23</v>
      </c>
    </row>
    <row r="25" spans="2:14" ht="26.85" customHeight="1" x14ac:dyDescent="0.25">
      <c r="B25" s="366" t="s">
        <v>487</v>
      </c>
      <c r="C25" s="366"/>
      <c r="D25" s="286" t="s">
        <v>25</v>
      </c>
      <c r="E25" s="286"/>
      <c r="F25" s="841">
        <v>726</v>
      </c>
      <c r="G25" s="617">
        <v>711</v>
      </c>
      <c r="H25" s="561">
        <v>782</v>
      </c>
      <c r="I25" s="423">
        <v>828</v>
      </c>
      <c r="J25" s="407">
        <v>1142</v>
      </c>
      <c r="K25" s="407">
        <v>1682</v>
      </c>
      <c r="L25" s="407">
        <v>1609</v>
      </c>
      <c r="M25" s="407">
        <v>1493</v>
      </c>
      <c r="N25" s="407">
        <v>1191</v>
      </c>
    </row>
    <row r="26" spans="2:14" ht="60" customHeight="1" x14ac:dyDescent="0.2">
      <c r="B26" s="1013" t="s">
        <v>639</v>
      </c>
      <c r="C26" s="1014"/>
      <c r="D26" s="1014"/>
      <c r="E26" s="1014"/>
      <c r="F26" s="1014"/>
      <c r="G26" s="1014"/>
      <c r="H26" s="1014"/>
      <c r="I26" s="1014"/>
      <c r="J26" s="1014"/>
      <c r="K26" s="1014"/>
      <c r="L26" s="1014"/>
      <c r="M26" s="1014"/>
      <c r="N26" s="1014"/>
    </row>
    <row r="27" spans="2:14" ht="50.1" customHeight="1" x14ac:dyDescent="0.2">
      <c r="B27" s="28"/>
      <c r="C27" s="28"/>
      <c r="D27" s="3"/>
      <c r="E27" s="3"/>
      <c r="F27" s="3"/>
      <c r="G27" s="162"/>
      <c r="H27" s="165"/>
      <c r="I27" s="165"/>
      <c r="J27" s="166"/>
      <c r="K27" s="166"/>
      <c r="L27" s="165"/>
      <c r="M27" s="165"/>
      <c r="N27" s="165"/>
    </row>
    <row r="28" spans="2:14" ht="26.85" customHeight="1" x14ac:dyDescent="0.2">
      <c r="B28" s="6" t="s">
        <v>488</v>
      </c>
      <c r="C28" s="6"/>
      <c r="D28" s="164" t="s">
        <v>9</v>
      </c>
      <c r="E28" s="164"/>
      <c r="F28" s="8" t="s">
        <v>10</v>
      </c>
      <c r="G28" s="9" t="s">
        <v>11</v>
      </c>
      <c r="H28" s="9" t="s">
        <v>12</v>
      </c>
      <c r="I28" s="9" t="s">
        <v>13</v>
      </c>
      <c r="J28" s="9" t="s">
        <v>14</v>
      </c>
      <c r="K28" s="9" t="s">
        <v>15</v>
      </c>
      <c r="L28" s="9" t="s">
        <v>16</v>
      </c>
      <c r="M28" s="9" t="s">
        <v>17</v>
      </c>
      <c r="N28" s="9" t="s">
        <v>18</v>
      </c>
    </row>
    <row r="29" spans="2:14" ht="26.85" customHeight="1" x14ac:dyDescent="0.25">
      <c r="B29" s="293" t="s">
        <v>489</v>
      </c>
      <c r="C29" s="293"/>
      <c r="D29" s="286"/>
      <c r="E29" s="286"/>
      <c r="F29" s="872"/>
      <c r="G29" s="617"/>
      <c r="H29" s="445"/>
      <c r="I29" s="470"/>
      <c r="J29" s="471"/>
      <c r="K29" s="471"/>
      <c r="L29" s="470"/>
      <c r="M29" s="470"/>
      <c r="N29" s="470"/>
    </row>
    <row r="30" spans="2:14" ht="26.85" customHeight="1" x14ac:dyDescent="0.25">
      <c r="B30" s="366" t="s">
        <v>490</v>
      </c>
      <c r="C30" s="366"/>
      <c r="D30" s="286" t="s">
        <v>31</v>
      </c>
      <c r="E30" s="286"/>
      <c r="F30" s="602">
        <v>0.95</v>
      </c>
      <c r="G30" s="816">
        <v>0.94</v>
      </c>
      <c r="H30" s="250">
        <v>0.93</v>
      </c>
      <c r="I30" s="470">
        <v>0.89</v>
      </c>
      <c r="J30" s="471">
        <v>0.94</v>
      </c>
      <c r="K30" s="471">
        <v>0.92</v>
      </c>
      <c r="L30" s="470">
        <v>0.92</v>
      </c>
      <c r="M30" s="470">
        <v>0.92</v>
      </c>
      <c r="N30" s="470">
        <v>0.95</v>
      </c>
    </row>
    <row r="31" spans="2:14" ht="26.85" customHeight="1" x14ac:dyDescent="0.25">
      <c r="B31" s="366" t="s">
        <v>490</v>
      </c>
      <c r="C31" s="366"/>
      <c r="D31" s="286" t="s">
        <v>25</v>
      </c>
      <c r="E31" s="286"/>
      <c r="F31" s="841">
        <v>822</v>
      </c>
      <c r="G31" s="617">
        <v>813</v>
      </c>
      <c r="H31" s="249">
        <v>806</v>
      </c>
      <c r="I31" s="443">
        <v>766</v>
      </c>
      <c r="J31" s="674">
        <v>805</v>
      </c>
      <c r="K31" s="674">
        <v>789</v>
      </c>
      <c r="L31" s="443">
        <v>782</v>
      </c>
      <c r="M31" s="443">
        <v>813</v>
      </c>
      <c r="N31" s="443">
        <v>812</v>
      </c>
    </row>
    <row r="32" spans="2:14" ht="26.85" customHeight="1" x14ac:dyDescent="0.25">
      <c r="B32" s="366" t="s">
        <v>491</v>
      </c>
      <c r="C32" s="366"/>
      <c r="D32" s="286" t="s">
        <v>25</v>
      </c>
      <c r="E32" s="286"/>
      <c r="F32" s="841">
        <v>1390</v>
      </c>
      <c r="G32" s="620">
        <v>1159</v>
      </c>
      <c r="H32" s="197">
        <v>1170</v>
      </c>
      <c r="I32" s="197" t="s">
        <v>23</v>
      </c>
      <c r="J32" s="197" t="s">
        <v>23</v>
      </c>
      <c r="K32" s="197" t="s">
        <v>23</v>
      </c>
      <c r="L32" s="197" t="s">
        <v>23</v>
      </c>
      <c r="M32" s="197" t="s">
        <v>23</v>
      </c>
      <c r="N32" s="197" t="s">
        <v>23</v>
      </c>
    </row>
    <row r="33" spans="2:14" ht="26.85" customHeight="1" x14ac:dyDescent="0.25">
      <c r="B33" s="366" t="s">
        <v>492</v>
      </c>
      <c r="C33" s="366"/>
      <c r="D33" s="180" t="s">
        <v>25</v>
      </c>
      <c r="E33" s="180"/>
      <c r="F33" s="233">
        <v>561</v>
      </c>
      <c r="G33" s="617">
        <v>431</v>
      </c>
      <c r="H33" s="199">
        <v>496</v>
      </c>
      <c r="I33" s="441">
        <v>456</v>
      </c>
      <c r="J33" s="442">
        <v>465</v>
      </c>
      <c r="K33" s="191">
        <v>503</v>
      </c>
      <c r="L33" s="191">
        <v>491</v>
      </c>
      <c r="M33" s="191">
        <v>439</v>
      </c>
      <c r="N33" s="191">
        <v>441</v>
      </c>
    </row>
    <row r="34" spans="2:14" ht="26.85" customHeight="1" x14ac:dyDescent="0.25">
      <c r="B34" s="366" t="s">
        <v>493</v>
      </c>
      <c r="C34" s="366"/>
      <c r="D34" s="180" t="s">
        <v>25</v>
      </c>
      <c r="E34" s="180"/>
      <c r="F34" s="233">
        <v>156</v>
      </c>
      <c r="G34" s="617">
        <v>134</v>
      </c>
      <c r="H34" s="199">
        <v>94</v>
      </c>
      <c r="I34" s="441">
        <v>105</v>
      </c>
      <c r="J34" s="442">
        <v>83</v>
      </c>
      <c r="K34" s="442">
        <v>107</v>
      </c>
      <c r="L34" s="191">
        <v>97</v>
      </c>
      <c r="M34" s="191">
        <v>71</v>
      </c>
      <c r="N34" s="191">
        <v>47</v>
      </c>
    </row>
    <row r="35" spans="2:14" ht="26.85" customHeight="1" x14ac:dyDescent="0.25">
      <c r="B35" s="366" t="s">
        <v>494</v>
      </c>
      <c r="C35" s="366"/>
      <c r="D35" s="180" t="s">
        <v>25</v>
      </c>
      <c r="E35" s="180"/>
      <c r="F35" s="233">
        <v>424</v>
      </c>
      <c r="G35" s="617">
        <v>315</v>
      </c>
      <c r="H35" s="199">
        <v>357</v>
      </c>
      <c r="I35" s="441">
        <v>336</v>
      </c>
      <c r="J35" s="442">
        <v>326</v>
      </c>
      <c r="K35" s="442">
        <v>319</v>
      </c>
      <c r="L35" s="191">
        <v>374</v>
      </c>
      <c r="M35" s="191">
        <v>351</v>
      </c>
      <c r="N35" s="191">
        <v>211</v>
      </c>
    </row>
    <row r="36" spans="2:14" ht="26.85" customHeight="1" x14ac:dyDescent="0.25">
      <c r="B36" s="563" t="s">
        <v>495</v>
      </c>
      <c r="C36" s="366"/>
      <c r="D36" s="193" t="s">
        <v>25</v>
      </c>
      <c r="E36" s="193"/>
      <c r="F36" s="233">
        <v>102</v>
      </c>
      <c r="G36" s="617">
        <v>103</v>
      </c>
      <c r="H36" s="199">
        <v>69</v>
      </c>
      <c r="I36" s="249">
        <v>88</v>
      </c>
      <c r="J36" s="416">
        <v>91</v>
      </c>
      <c r="K36" s="442">
        <v>99</v>
      </c>
      <c r="L36" s="191">
        <v>128</v>
      </c>
      <c r="M36" s="191">
        <v>142</v>
      </c>
      <c r="N36" s="191">
        <v>99</v>
      </c>
    </row>
    <row r="37" spans="2:14" ht="26.85" customHeight="1" x14ac:dyDescent="0.25">
      <c r="B37" s="563" t="s">
        <v>496</v>
      </c>
      <c r="C37" s="351"/>
      <c r="D37" s="248" t="s">
        <v>25</v>
      </c>
      <c r="E37" s="248"/>
      <c r="F37" s="841">
        <v>0</v>
      </c>
      <c r="G37" s="620">
        <v>0</v>
      </c>
      <c r="H37" s="197">
        <v>0</v>
      </c>
      <c r="I37" s="249">
        <v>0</v>
      </c>
      <c r="J37" s="197" t="s">
        <v>23</v>
      </c>
      <c r="K37" s="197" t="s">
        <v>23</v>
      </c>
      <c r="L37" s="197" t="s">
        <v>23</v>
      </c>
      <c r="M37" s="197" t="s">
        <v>23</v>
      </c>
      <c r="N37" s="197" t="s">
        <v>23</v>
      </c>
    </row>
    <row r="38" spans="2:14" ht="26.85" customHeight="1" x14ac:dyDescent="0.25">
      <c r="B38" s="563" t="s">
        <v>497</v>
      </c>
      <c r="C38" s="351"/>
      <c r="D38" s="248" t="s">
        <v>25</v>
      </c>
      <c r="E38" s="248"/>
      <c r="F38" s="841">
        <v>8</v>
      </c>
      <c r="G38" s="617">
        <v>15</v>
      </c>
      <c r="H38" s="197">
        <v>10</v>
      </c>
      <c r="I38" s="249">
        <v>43</v>
      </c>
      <c r="J38" s="197" t="s">
        <v>23</v>
      </c>
      <c r="K38" s="197" t="s">
        <v>23</v>
      </c>
      <c r="L38" s="197" t="s">
        <v>23</v>
      </c>
      <c r="M38" s="197" t="s">
        <v>23</v>
      </c>
      <c r="N38" s="197" t="s">
        <v>23</v>
      </c>
    </row>
    <row r="39" spans="2:14" ht="38.450000000000003" customHeight="1" x14ac:dyDescent="0.2">
      <c r="B39" s="999" t="s">
        <v>498</v>
      </c>
      <c r="C39" s="999"/>
      <c r="D39" s="999"/>
      <c r="E39" s="999"/>
      <c r="F39" s="999"/>
      <c r="G39" s="999"/>
      <c r="H39" s="999"/>
      <c r="I39" s="999"/>
      <c r="J39" s="999"/>
      <c r="K39" s="999"/>
      <c r="L39" s="999"/>
      <c r="M39" s="999"/>
      <c r="N39" s="999"/>
    </row>
    <row r="40" spans="2:14" ht="50.1" customHeight="1" x14ac:dyDescent="0.2">
      <c r="D40" s="94"/>
      <c r="E40" s="94"/>
      <c r="F40" s="94"/>
      <c r="H40" s="29"/>
      <c r="I40" s="29"/>
      <c r="J40" s="29"/>
      <c r="K40" s="29"/>
      <c r="L40" s="29"/>
      <c r="M40" s="29"/>
      <c r="N40" s="29"/>
    </row>
    <row r="41" spans="2:14" ht="26.85" customHeight="1" x14ac:dyDescent="0.2">
      <c r="B41" s="6" t="s">
        <v>499</v>
      </c>
      <c r="C41" s="6"/>
      <c r="D41" s="7" t="s">
        <v>9</v>
      </c>
      <c r="E41" s="7"/>
      <c r="F41" s="8" t="s">
        <v>10</v>
      </c>
      <c r="G41" s="9" t="s">
        <v>11</v>
      </c>
      <c r="H41" s="9" t="s">
        <v>12</v>
      </c>
      <c r="I41" s="9" t="s">
        <v>13</v>
      </c>
      <c r="J41" s="9" t="s">
        <v>14</v>
      </c>
      <c r="K41" s="9" t="s">
        <v>15</v>
      </c>
      <c r="L41" s="9" t="s">
        <v>16</v>
      </c>
      <c r="M41" s="9" t="s">
        <v>17</v>
      </c>
      <c r="N41" s="9" t="s">
        <v>18</v>
      </c>
    </row>
    <row r="42" spans="2:14" ht="26.85" customHeight="1" x14ac:dyDescent="0.25">
      <c r="B42" s="193" t="s">
        <v>500</v>
      </c>
      <c r="C42" s="188"/>
      <c r="D42" s="248" t="s">
        <v>25</v>
      </c>
      <c r="E42" s="248"/>
      <c r="F42" s="841">
        <v>0</v>
      </c>
      <c r="G42" s="617">
        <v>0</v>
      </c>
      <c r="H42" s="197">
        <v>0</v>
      </c>
      <c r="I42" s="199">
        <v>0</v>
      </c>
      <c r="J42" s="199">
        <v>0</v>
      </c>
      <c r="K42" s="197" t="s">
        <v>23</v>
      </c>
      <c r="L42" s="197" t="s">
        <v>23</v>
      </c>
      <c r="M42" s="197" t="s">
        <v>23</v>
      </c>
      <c r="N42" s="197" t="s">
        <v>23</v>
      </c>
    </row>
    <row r="43" spans="2:14" ht="26.85" customHeight="1" x14ac:dyDescent="0.25">
      <c r="B43" s="193" t="s">
        <v>501</v>
      </c>
      <c r="C43" s="188"/>
      <c r="D43" s="248" t="s">
        <v>25</v>
      </c>
      <c r="E43" s="248"/>
      <c r="F43" s="841">
        <v>1.2</v>
      </c>
      <c r="G43" s="863">
        <v>1.7</v>
      </c>
      <c r="H43" s="562">
        <v>1.3</v>
      </c>
      <c r="I43" s="397">
        <v>1</v>
      </c>
      <c r="J43" s="433">
        <v>2.9</v>
      </c>
      <c r="K43" s="560">
        <v>8</v>
      </c>
      <c r="L43" s="560">
        <v>4.8</v>
      </c>
      <c r="M43" s="560">
        <v>9.6999999999999993</v>
      </c>
      <c r="N43" s="197" t="s">
        <v>23</v>
      </c>
    </row>
    <row r="44" spans="2:14" ht="26.85" customHeight="1" x14ac:dyDescent="0.25">
      <c r="B44" s="193" t="s">
        <v>502</v>
      </c>
      <c r="C44" s="188"/>
      <c r="D44" s="248" t="s">
        <v>25</v>
      </c>
      <c r="E44" s="248"/>
      <c r="F44" s="841">
        <v>0.4</v>
      </c>
      <c r="G44" s="863">
        <v>0.8</v>
      </c>
      <c r="H44" s="562">
        <v>1.3</v>
      </c>
      <c r="I44" s="397">
        <v>0</v>
      </c>
      <c r="J44" s="397">
        <v>0</v>
      </c>
      <c r="K44" s="560">
        <v>0.7</v>
      </c>
      <c r="L44" s="560">
        <v>1.7</v>
      </c>
      <c r="M44" s="560">
        <v>1.8</v>
      </c>
      <c r="N44" s="197" t="s">
        <v>23</v>
      </c>
    </row>
    <row r="45" spans="2:14" ht="26.85" customHeight="1" x14ac:dyDescent="0.25">
      <c r="B45" s="193" t="s">
        <v>503</v>
      </c>
      <c r="C45" s="193"/>
      <c r="D45" s="248" t="s">
        <v>25</v>
      </c>
      <c r="E45" s="248"/>
      <c r="F45" s="841">
        <v>3</v>
      </c>
      <c r="G45" s="620">
        <v>4</v>
      </c>
      <c r="H45" s="423">
        <v>3</v>
      </c>
      <c r="I45" s="871">
        <v>2</v>
      </c>
      <c r="J45" s="433">
        <v>5</v>
      </c>
      <c r="K45" s="423">
        <v>12</v>
      </c>
      <c r="L45" s="423">
        <v>11</v>
      </c>
      <c r="M45" s="423">
        <v>16</v>
      </c>
      <c r="N45" s="197" t="s">
        <v>23</v>
      </c>
    </row>
    <row r="46" spans="2:14" ht="26.85" customHeight="1" x14ac:dyDescent="0.25">
      <c r="B46" s="193" t="s">
        <v>478</v>
      </c>
      <c r="C46" s="188"/>
      <c r="D46" s="248" t="s">
        <v>25</v>
      </c>
      <c r="E46" s="248"/>
      <c r="F46" s="841">
        <v>1</v>
      </c>
      <c r="G46" s="617">
        <v>2</v>
      </c>
      <c r="H46" s="197">
        <v>3</v>
      </c>
      <c r="I46" s="433">
        <v>0</v>
      </c>
      <c r="J46" s="197">
        <v>0</v>
      </c>
      <c r="K46" s="423">
        <v>1</v>
      </c>
      <c r="L46" s="423">
        <v>4</v>
      </c>
      <c r="M46" s="423">
        <v>3</v>
      </c>
      <c r="N46" s="197" t="s">
        <v>23</v>
      </c>
    </row>
    <row r="47" spans="2:14" ht="26.85" customHeight="1" x14ac:dyDescent="0.25">
      <c r="B47" s="193" t="s">
        <v>479</v>
      </c>
      <c r="C47" s="188"/>
      <c r="D47" s="248" t="s">
        <v>25</v>
      </c>
      <c r="E47" s="248"/>
      <c r="F47" s="841">
        <v>163</v>
      </c>
      <c r="G47" s="617">
        <v>148</v>
      </c>
      <c r="H47" s="197">
        <v>113</v>
      </c>
      <c r="I47" s="433">
        <v>136</v>
      </c>
      <c r="J47" s="197">
        <v>123</v>
      </c>
      <c r="K47" s="197" t="s">
        <v>23</v>
      </c>
      <c r="L47" s="197" t="s">
        <v>23</v>
      </c>
      <c r="M47" s="197" t="s">
        <v>23</v>
      </c>
      <c r="N47" s="197" t="s">
        <v>23</v>
      </c>
    </row>
    <row r="48" spans="2:14" ht="26.85" customHeight="1" x14ac:dyDescent="0.25">
      <c r="B48" s="193" t="s">
        <v>504</v>
      </c>
      <c r="C48" s="188"/>
      <c r="D48" s="286" t="s">
        <v>25</v>
      </c>
      <c r="E48" s="248"/>
      <c r="F48" s="841">
        <v>1401</v>
      </c>
      <c r="G48" s="617">
        <v>1285.53</v>
      </c>
      <c r="H48" s="423">
        <v>1300</v>
      </c>
      <c r="I48" s="433">
        <v>991</v>
      </c>
      <c r="J48" s="197">
        <v>936</v>
      </c>
      <c r="K48" s="197" t="s">
        <v>23</v>
      </c>
      <c r="L48" s="197" t="s">
        <v>23</v>
      </c>
      <c r="M48" s="197" t="s">
        <v>23</v>
      </c>
      <c r="N48" s="197" t="s">
        <v>23</v>
      </c>
    </row>
    <row r="49" spans="2:14" ht="50.1" customHeight="1" x14ac:dyDescent="0.2">
      <c r="B49" s="171"/>
      <c r="C49" s="171"/>
      <c r="D49" s="79"/>
      <c r="E49" s="79"/>
      <c r="F49" s="79"/>
      <c r="G49" s="44"/>
      <c r="H49" s="12"/>
      <c r="I49" s="172"/>
      <c r="J49" s="29"/>
      <c r="K49" s="29"/>
      <c r="L49" s="29"/>
      <c r="M49" s="29"/>
      <c r="N49" s="29"/>
    </row>
    <row r="50" spans="2:14" s="171" customFormat="1" ht="26.85" customHeight="1" x14ac:dyDescent="0.2">
      <c r="B50" s="6" t="s">
        <v>505</v>
      </c>
      <c r="C50" s="6"/>
      <c r="D50" s="7" t="s">
        <v>9</v>
      </c>
      <c r="E50" s="7"/>
      <c r="F50" s="8" t="s">
        <v>10</v>
      </c>
      <c r="G50" s="9" t="s">
        <v>11</v>
      </c>
      <c r="H50" s="9" t="s">
        <v>12</v>
      </c>
      <c r="I50" s="9" t="s">
        <v>13</v>
      </c>
      <c r="J50" s="9" t="s">
        <v>14</v>
      </c>
      <c r="K50" s="9" t="s">
        <v>15</v>
      </c>
      <c r="L50" s="9" t="s">
        <v>16</v>
      </c>
      <c r="M50" s="9" t="s">
        <v>17</v>
      </c>
      <c r="N50" s="9" t="s">
        <v>18</v>
      </c>
    </row>
    <row r="51" spans="2:14" ht="26.85" customHeight="1" x14ac:dyDescent="0.25">
      <c r="B51" s="193" t="s">
        <v>506</v>
      </c>
      <c r="C51" s="188"/>
      <c r="D51" s="248" t="s">
        <v>25</v>
      </c>
      <c r="E51" s="248"/>
      <c r="F51" s="841">
        <v>0</v>
      </c>
      <c r="G51" s="617">
        <v>0</v>
      </c>
      <c r="H51" s="197">
        <v>0</v>
      </c>
      <c r="I51" s="199">
        <v>0</v>
      </c>
      <c r="J51" s="197" t="s">
        <v>23</v>
      </c>
      <c r="K51" s="197" t="s">
        <v>23</v>
      </c>
      <c r="L51" s="197" t="s">
        <v>23</v>
      </c>
      <c r="M51" s="197" t="s">
        <v>23</v>
      </c>
      <c r="N51" s="197" t="s">
        <v>23</v>
      </c>
    </row>
    <row r="52" spans="2:14" ht="26.85" customHeight="1" x14ac:dyDescent="0.25">
      <c r="B52" s="239" t="s">
        <v>507</v>
      </c>
      <c r="C52" s="260"/>
      <c r="D52" s="248" t="s">
        <v>25</v>
      </c>
      <c r="E52" s="248"/>
      <c r="F52" s="841">
        <v>8</v>
      </c>
      <c r="G52" s="617">
        <v>7</v>
      </c>
      <c r="H52" s="197">
        <v>5</v>
      </c>
      <c r="I52" s="433">
        <v>4</v>
      </c>
      <c r="J52" s="197" t="s">
        <v>23</v>
      </c>
      <c r="K52" s="197" t="s">
        <v>23</v>
      </c>
      <c r="L52" s="197" t="s">
        <v>23</v>
      </c>
      <c r="M52" s="197" t="s">
        <v>23</v>
      </c>
      <c r="N52" s="197" t="s">
        <v>23</v>
      </c>
    </row>
    <row r="53" spans="2:14" ht="26.45" customHeight="1" x14ac:dyDescent="0.2">
      <c r="B53" s="999" t="s">
        <v>508</v>
      </c>
      <c r="C53" s="999"/>
      <c r="D53" s="999"/>
      <c r="E53" s="999"/>
      <c r="F53" s="999"/>
      <c r="G53" s="999"/>
      <c r="H53" s="999"/>
      <c r="I53" s="999"/>
      <c r="J53" s="999"/>
      <c r="K53" s="999"/>
      <c r="L53" s="999"/>
      <c r="M53" s="999"/>
      <c r="N53" s="999"/>
    </row>
    <row r="54" spans="2:14" x14ac:dyDescent="0.2">
      <c r="B54" s="170"/>
      <c r="C54" s="170"/>
      <c r="D54" s="79"/>
      <c r="E54" s="79"/>
      <c r="F54" s="79"/>
      <c r="G54" s="44"/>
      <c r="H54" s="22"/>
      <c r="I54" s="143"/>
      <c r="J54" s="22"/>
      <c r="K54" s="22"/>
      <c r="L54" s="22"/>
      <c r="M54" s="22"/>
      <c r="N54" s="22"/>
    </row>
    <row r="55" spans="2:14" x14ac:dyDescent="0.2">
      <c r="B55" s="28"/>
      <c r="C55" s="28"/>
      <c r="D55" s="339"/>
      <c r="E55" s="339"/>
      <c r="F55" s="339"/>
      <c r="G55" s="44"/>
      <c r="H55" s="44"/>
      <c r="I55" s="173"/>
      <c r="J55" s="44"/>
      <c r="K55" s="44"/>
      <c r="L55" s="44"/>
      <c r="M55" s="44"/>
      <c r="N55" s="44"/>
    </row>
  </sheetData>
  <sheetProtection algorithmName="SHA-512" hashValue="o8UauUCoDnuR5EUH+9dniyRVq8YOFuBjiK+txSMPoGVVH54M/peFXIj5PyKxiLkhqB7RhK8+Tmo7TM48voxUFg==" saltValue="xz0kkud2ifZty3NxsB998A==" spinCount="100000" sheet="1" objects="1" scenarios="1"/>
  <protectedRanges>
    <protectedRange algorithmName="SHA-512" hashValue="SBmVKL1PmbJO4BEGzBE2xSftKq5NiG1q1emuti/GVfceCNi5g6XOmQ1IMu3DBdkx1ZhRvUtbpcPo4ef6OYQSig==" saltValue="08oHF2zO3UoJG6Nlb1OgOA==" spinCount="100000" sqref="J37:N39 J53:N53" name="FY20_3_2_1"/>
    <protectedRange algorithmName="SHA-512" hashValue="SBmVKL1PmbJO4BEGzBE2xSftKq5NiG1q1emuti/GVfceCNi5g6XOmQ1IMu3DBdkx1ZhRvUtbpcPo4ef6OYQSig==" saltValue="08oHF2zO3UoJG6Nlb1OgOA==" spinCount="100000" sqref="H37:H39 H32:N32 H53" name="FY20_3_2_1_1"/>
    <protectedRange algorithmName="SHA-512" hashValue="SBmVKL1PmbJO4BEGzBE2xSftKq5NiG1q1emuti/GVfceCNi5g6XOmQ1IMu3DBdkx1ZhRvUtbpcPo4ef6OYQSig==" saltValue="08oHF2zO3UoJG6Nlb1OgOA==" spinCount="100000" sqref="H42:H48" name="FY20_3_2_1_2"/>
    <protectedRange algorithmName="SHA-512" hashValue="SBmVKL1PmbJO4BEGzBE2xSftKq5NiG1q1emuti/GVfceCNi5g6XOmQ1IMu3DBdkx1ZhRvUtbpcPo4ef6OYQSig==" saltValue="08oHF2zO3UoJG6Nlb1OgOA==" spinCount="100000" sqref="J46:J47 J48:N48 K42:N47" name="FY20_3_2_1_3"/>
    <protectedRange algorithmName="SHA-512" hashValue="SBmVKL1PmbJO4BEGzBE2xSftKq5NiG1q1emuti/GVfceCNi5g6XOmQ1IMu3DBdkx1ZhRvUtbpcPo4ef6OYQSig==" saltValue="08oHF2zO3UoJG6Nlb1OgOA==" spinCount="100000" sqref="J51:N52 J54:N54" name="FY20_3_2_1_4"/>
    <protectedRange algorithmName="SHA-512" hashValue="SBmVKL1PmbJO4BEGzBE2xSftKq5NiG1q1emuti/GVfceCNi5g6XOmQ1IMu3DBdkx1ZhRvUtbpcPo4ef6OYQSig==" saltValue="08oHF2zO3UoJG6Nlb1OgOA==" spinCount="100000" sqref="H51:H52 G30:G31 G33:G39 G42:G48 H54 G51:G53" name="FY20_3_2_1_5"/>
    <protectedRange algorithmName="SHA-512" hashValue="SBmVKL1PmbJO4BEGzBE2xSftKq5NiG1q1emuti/GVfceCNi5g6XOmQ1IMu3DBdkx1ZhRvUtbpcPo4ef6OYQSig==" saltValue="08oHF2zO3UoJG6Nlb1OgOA==" spinCount="100000" sqref="G6:G8" name="FY20_3_2_1_5_1"/>
    <protectedRange algorithmName="SHA-512" hashValue="SBmVKL1PmbJO4BEGzBE2xSftKq5NiG1q1emuti/GVfceCNi5g6XOmQ1IMu3DBdkx1ZhRvUtbpcPo4ef6OYQSig==" saltValue="08oHF2zO3UoJG6Nlb1OgOA==" spinCount="100000" sqref="G20:G25 G13:G17 H17 J17:N17 H19:N20" name="FY20_3_2_1_5_2"/>
  </protectedRanges>
  <mergeCells count="5">
    <mergeCell ref="B39:N39"/>
    <mergeCell ref="B2:G2"/>
    <mergeCell ref="B9:N9"/>
    <mergeCell ref="B26:N26"/>
    <mergeCell ref="B53:N53"/>
  </mergeCells>
  <pageMargins left="0.7" right="0.7" top="0.75" bottom="0.75" header="0.3" footer="0.3"/>
  <pageSetup paperSize="9" scale="29" orientation="portrait" r:id="rId1"/>
  <headerFooter>
    <oddFooter>&amp;L_x000D_&amp;1#&amp;"Calibri"&amp;8&amp;K000000 Unclassified</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43FBF-8118-4A33-9A1E-94BEF38B1ED3}">
  <sheetPr codeName="Sheet9">
    <tabColor theme="5" tint="0.79998168889431442"/>
    <pageSetUpPr fitToPage="1"/>
  </sheetPr>
  <dimension ref="B1:M25"/>
  <sheetViews>
    <sheetView showGridLines="0" topLeftCell="A2" zoomScale="70" zoomScaleNormal="70" workbookViewId="0">
      <selection activeCell="I31" sqref="I31"/>
    </sheetView>
  </sheetViews>
  <sheetFormatPr defaultColWidth="8.5703125" defaultRowHeight="15" x14ac:dyDescent="0.2"/>
  <cols>
    <col min="1" max="1" width="4.42578125" style="37" customWidth="1"/>
    <col min="2" max="2" width="50.42578125" style="37" customWidth="1"/>
    <col min="3" max="3" width="16.42578125" style="37" customWidth="1"/>
    <col min="4" max="4" width="9.42578125" style="68" customWidth="1"/>
    <col min="5" max="5" width="15.42578125" style="68" customWidth="1"/>
    <col min="6" max="6" width="20.5703125" style="68" customWidth="1"/>
    <col min="7" max="12" width="21.5703125" style="68" customWidth="1"/>
    <col min="13" max="13" width="15.5703125" style="48" customWidth="1"/>
    <col min="14" max="16384" width="8.5703125" style="37"/>
  </cols>
  <sheetData>
    <row r="1" spans="2:13" ht="24.6" customHeight="1" x14ac:dyDescent="0.2"/>
    <row r="2" spans="2:13" ht="81" customHeight="1" x14ac:dyDescent="0.2">
      <c r="B2" s="916" t="s">
        <v>509</v>
      </c>
      <c r="C2" s="916"/>
      <c r="D2" s="916"/>
      <c r="E2" s="336"/>
      <c r="F2" s="336"/>
      <c r="G2" s="466"/>
      <c r="H2" s="466"/>
      <c r="I2" s="336"/>
      <c r="J2" s="336"/>
      <c r="K2" s="336"/>
      <c r="L2" s="277"/>
      <c r="M2" s="174"/>
    </row>
    <row r="3" spans="2:13" ht="25.5" customHeight="1" x14ac:dyDescent="0.2">
      <c r="B3" s="161"/>
      <c r="C3" s="161"/>
      <c r="D3" s="175"/>
      <c r="E3" s="175"/>
      <c r="F3" s="175"/>
      <c r="G3" s="175"/>
      <c r="H3" s="175"/>
      <c r="I3" s="175"/>
      <c r="J3" s="175"/>
      <c r="K3" s="175"/>
      <c r="L3" s="175"/>
      <c r="M3" s="176"/>
    </row>
    <row r="4" spans="2:13" ht="26.85" customHeight="1" x14ac:dyDescent="0.2">
      <c r="B4" s="6" t="s">
        <v>510</v>
      </c>
      <c r="C4" s="6"/>
      <c r="D4" s="164" t="s">
        <v>9</v>
      </c>
      <c r="E4" s="164"/>
      <c r="F4" s="8" t="s">
        <v>10</v>
      </c>
      <c r="G4" s="9" t="s">
        <v>11</v>
      </c>
      <c r="H4" s="9" t="s">
        <v>12</v>
      </c>
      <c r="I4" s="9" t="s">
        <v>13</v>
      </c>
      <c r="J4" s="9" t="s">
        <v>14</v>
      </c>
      <c r="K4" s="9" t="s">
        <v>15</v>
      </c>
      <c r="L4" s="9" t="s">
        <v>16</v>
      </c>
      <c r="M4" s="58"/>
    </row>
    <row r="5" spans="2:13" ht="26.85" customHeight="1" x14ac:dyDescent="0.25">
      <c r="B5" s="198" t="s">
        <v>469</v>
      </c>
      <c r="C5" s="198"/>
      <c r="D5" s="286"/>
      <c r="E5" s="286"/>
      <c r="F5" s="872"/>
      <c r="G5" s="442"/>
      <c r="H5" s="874"/>
      <c r="I5" s="191"/>
      <c r="J5" s="191"/>
      <c r="K5" s="191"/>
      <c r="L5" s="191"/>
      <c r="M5" s="50"/>
    </row>
    <row r="6" spans="2:13" ht="26.85" customHeight="1" x14ac:dyDescent="0.25">
      <c r="B6" s="347" t="s">
        <v>470</v>
      </c>
      <c r="C6" s="347"/>
      <c r="D6" s="286" t="s">
        <v>25</v>
      </c>
      <c r="E6" s="286"/>
      <c r="F6" s="233">
        <v>2.7</v>
      </c>
      <c r="G6" s="416">
        <v>0.7</v>
      </c>
      <c r="H6" s="249">
        <v>0.7</v>
      </c>
      <c r="I6" s="249">
        <v>1.6</v>
      </c>
      <c r="J6" s="416">
        <v>1.6</v>
      </c>
      <c r="K6" s="416">
        <v>3.8</v>
      </c>
      <c r="L6" s="249">
        <v>5.5</v>
      </c>
      <c r="M6" s="116"/>
    </row>
    <row r="7" spans="2:13" ht="26.85" customHeight="1" x14ac:dyDescent="0.25">
      <c r="B7" s="347" t="s">
        <v>502</v>
      </c>
      <c r="C7" s="347"/>
      <c r="D7" s="286" t="s">
        <v>25</v>
      </c>
      <c r="E7" s="286"/>
      <c r="F7" s="841">
        <v>1.4</v>
      </c>
      <c r="G7" s="416">
        <v>0.7</v>
      </c>
      <c r="H7" s="249">
        <v>0.7</v>
      </c>
      <c r="I7" s="249">
        <v>0.8</v>
      </c>
      <c r="J7" s="416">
        <v>0.8</v>
      </c>
      <c r="K7" s="416">
        <v>0</v>
      </c>
      <c r="L7" s="249">
        <v>1.6</v>
      </c>
      <c r="M7" s="116"/>
    </row>
    <row r="8" spans="2:13" ht="26.85" customHeight="1" x14ac:dyDescent="0.25">
      <c r="B8" s="347" t="s">
        <v>472</v>
      </c>
      <c r="C8" s="347"/>
      <c r="D8" s="286" t="s">
        <v>25</v>
      </c>
      <c r="E8" s="286"/>
      <c r="F8" s="841">
        <v>0</v>
      </c>
      <c r="G8" s="416">
        <v>0</v>
      </c>
      <c r="H8" s="249">
        <v>0</v>
      </c>
      <c r="I8" s="441">
        <v>0</v>
      </c>
      <c r="J8" s="442">
        <v>0</v>
      </c>
      <c r="K8" s="442">
        <v>0</v>
      </c>
      <c r="L8" s="441">
        <v>0</v>
      </c>
      <c r="M8" s="163"/>
    </row>
    <row r="9" spans="2:13" ht="50.25" customHeight="1" x14ac:dyDescent="0.2">
      <c r="B9" s="28"/>
      <c r="C9" s="28"/>
      <c r="D9" s="3"/>
      <c r="E9" s="3"/>
      <c r="F9" s="3"/>
      <c r="G9" s="162"/>
      <c r="H9" s="162"/>
      <c r="I9" s="165"/>
      <c r="J9" s="166"/>
      <c r="K9" s="166"/>
      <c r="L9" s="165"/>
      <c r="M9" s="163"/>
    </row>
    <row r="10" spans="2:13" ht="26.85" customHeight="1" x14ac:dyDescent="0.2">
      <c r="B10" s="6" t="s">
        <v>511</v>
      </c>
      <c r="C10" s="6"/>
      <c r="D10" s="7" t="s">
        <v>9</v>
      </c>
      <c r="E10" s="7"/>
      <c r="F10" s="8" t="s">
        <v>10</v>
      </c>
      <c r="G10" s="9" t="s">
        <v>11</v>
      </c>
      <c r="H10" s="9" t="s">
        <v>12</v>
      </c>
      <c r="I10" s="9" t="s">
        <v>13</v>
      </c>
      <c r="J10" s="9" t="s">
        <v>14</v>
      </c>
      <c r="K10" s="9" t="s">
        <v>15</v>
      </c>
      <c r="L10" s="9" t="s">
        <v>16</v>
      </c>
      <c r="M10" s="58"/>
    </row>
    <row r="11" spans="2:13" ht="26.85" customHeight="1" x14ac:dyDescent="0.25">
      <c r="B11" s="198" t="s">
        <v>474</v>
      </c>
      <c r="C11" s="198"/>
      <c r="D11" s="286"/>
      <c r="E11" s="286"/>
      <c r="F11" s="872"/>
      <c r="G11" s="442"/>
      <c r="H11" s="874"/>
      <c r="I11" s="441"/>
      <c r="J11" s="441"/>
      <c r="K11" s="441"/>
      <c r="L11" s="441"/>
      <c r="M11" s="163"/>
    </row>
    <row r="12" spans="2:13" ht="26.85" customHeight="1" x14ac:dyDescent="0.25">
      <c r="B12" s="347" t="s">
        <v>475</v>
      </c>
      <c r="C12" s="347"/>
      <c r="D12" s="286" t="s">
        <v>25</v>
      </c>
      <c r="E12" s="286"/>
      <c r="F12" s="841">
        <v>15</v>
      </c>
      <c r="G12" s="416">
        <v>12</v>
      </c>
      <c r="H12" s="423">
        <v>13</v>
      </c>
      <c r="I12" s="249">
        <v>19</v>
      </c>
      <c r="J12" s="416">
        <v>25</v>
      </c>
      <c r="K12" s="416">
        <v>34</v>
      </c>
      <c r="L12" s="249">
        <v>26</v>
      </c>
      <c r="M12" s="116"/>
    </row>
    <row r="13" spans="2:13" ht="26.85" customHeight="1" x14ac:dyDescent="0.25">
      <c r="B13" s="347" t="s">
        <v>476</v>
      </c>
      <c r="C13" s="347"/>
      <c r="D13" s="286" t="s">
        <v>25</v>
      </c>
      <c r="E13" s="286"/>
      <c r="F13" s="841">
        <v>3</v>
      </c>
      <c r="G13" s="416">
        <v>6</v>
      </c>
      <c r="H13" s="423">
        <v>3</v>
      </c>
      <c r="I13" s="249">
        <v>4</v>
      </c>
      <c r="J13" s="416">
        <v>5</v>
      </c>
      <c r="K13" s="416">
        <v>11</v>
      </c>
      <c r="L13" s="249">
        <v>10</v>
      </c>
      <c r="M13" s="116"/>
    </row>
    <row r="14" spans="2:13" ht="26.85" customHeight="1" x14ac:dyDescent="0.25">
      <c r="B14" s="347" t="s">
        <v>512</v>
      </c>
      <c r="C14" s="347"/>
      <c r="D14" s="286" t="s">
        <v>25</v>
      </c>
      <c r="E14" s="286"/>
      <c r="F14" s="841">
        <v>4</v>
      </c>
      <c r="G14" s="416">
        <v>1</v>
      </c>
      <c r="H14" s="423">
        <v>0</v>
      </c>
      <c r="I14" s="249">
        <v>2</v>
      </c>
      <c r="J14" s="416">
        <v>1</v>
      </c>
      <c r="K14" s="416">
        <v>3</v>
      </c>
      <c r="L14" s="249">
        <v>7</v>
      </c>
      <c r="M14" s="116"/>
    </row>
    <row r="15" spans="2:13" ht="26.85" customHeight="1" x14ac:dyDescent="0.25">
      <c r="B15" s="347" t="s">
        <v>478</v>
      </c>
      <c r="C15" s="347"/>
      <c r="D15" s="286" t="s">
        <v>25</v>
      </c>
      <c r="E15" s="286"/>
      <c r="F15" s="841">
        <v>2</v>
      </c>
      <c r="G15" s="416">
        <v>1</v>
      </c>
      <c r="H15" s="423">
        <v>0</v>
      </c>
      <c r="I15" s="249">
        <v>1</v>
      </c>
      <c r="J15" s="416">
        <v>1</v>
      </c>
      <c r="K15" s="416">
        <v>0</v>
      </c>
      <c r="L15" s="249">
        <v>2</v>
      </c>
      <c r="M15" s="116"/>
    </row>
    <row r="16" spans="2:13" ht="50.25" customHeight="1" x14ac:dyDescent="0.2">
      <c r="B16" s="39"/>
      <c r="C16" s="39"/>
      <c r="D16" s="79"/>
      <c r="E16" s="79"/>
      <c r="F16" s="79"/>
      <c r="G16" s="162"/>
      <c r="H16" s="162"/>
      <c r="I16" s="169"/>
      <c r="J16" s="169"/>
      <c r="K16" s="169"/>
      <c r="L16" s="167"/>
      <c r="M16" s="168"/>
    </row>
    <row r="17" spans="2:13" ht="26.85" customHeight="1" x14ac:dyDescent="0.2">
      <c r="B17" s="6" t="s">
        <v>499</v>
      </c>
      <c r="C17" s="6"/>
      <c r="D17" s="7" t="s">
        <v>9</v>
      </c>
      <c r="E17" s="7"/>
      <c r="F17" s="8" t="s">
        <v>10</v>
      </c>
      <c r="G17" s="9" t="s">
        <v>11</v>
      </c>
      <c r="H17" s="9" t="s">
        <v>12</v>
      </c>
      <c r="I17" s="9" t="s">
        <v>13</v>
      </c>
      <c r="J17" s="9" t="s">
        <v>14</v>
      </c>
      <c r="K17" s="9" t="s">
        <v>15</v>
      </c>
      <c r="L17" s="9" t="s">
        <v>16</v>
      </c>
      <c r="M17" s="58"/>
    </row>
    <row r="18" spans="2:13" ht="26.85" customHeight="1" x14ac:dyDescent="0.25">
      <c r="B18" s="193" t="s">
        <v>501</v>
      </c>
      <c r="C18" s="188"/>
      <c r="D18" s="248" t="s">
        <v>25</v>
      </c>
      <c r="E18" s="248"/>
      <c r="F18" s="840">
        <v>0</v>
      </c>
      <c r="G18" s="865">
        <v>0</v>
      </c>
      <c r="H18" s="560">
        <v>1.3</v>
      </c>
      <c r="I18" s="560">
        <v>0</v>
      </c>
      <c r="J18" s="560">
        <v>1.7</v>
      </c>
      <c r="K18" s="560">
        <v>2.7</v>
      </c>
      <c r="L18" s="560">
        <v>0</v>
      </c>
    </row>
    <row r="19" spans="2:13" ht="26.85" customHeight="1" x14ac:dyDescent="0.25">
      <c r="B19" s="193" t="s">
        <v>502</v>
      </c>
      <c r="C19" s="188"/>
      <c r="D19" s="248" t="s">
        <v>25</v>
      </c>
      <c r="E19" s="248"/>
      <c r="F19" s="840">
        <v>0</v>
      </c>
      <c r="G19" s="865">
        <v>0</v>
      </c>
      <c r="H19" s="560">
        <v>1.3</v>
      </c>
      <c r="I19" s="560">
        <v>0</v>
      </c>
      <c r="J19" s="560">
        <v>0</v>
      </c>
      <c r="K19" s="560">
        <v>0</v>
      </c>
      <c r="L19" s="560">
        <v>0</v>
      </c>
    </row>
    <row r="20" spans="2:13" ht="26.85" customHeight="1" x14ac:dyDescent="0.25">
      <c r="B20" s="190" t="s">
        <v>512</v>
      </c>
      <c r="C20" s="188"/>
      <c r="D20" s="248" t="s">
        <v>25</v>
      </c>
      <c r="E20" s="248"/>
      <c r="F20" s="841">
        <v>0</v>
      </c>
      <c r="G20" s="620">
        <v>0</v>
      </c>
      <c r="H20" s="423">
        <v>1</v>
      </c>
      <c r="I20" s="423">
        <v>0</v>
      </c>
      <c r="J20" s="423">
        <v>1</v>
      </c>
      <c r="K20" s="423">
        <v>1</v>
      </c>
      <c r="L20" s="423">
        <v>0</v>
      </c>
    </row>
    <row r="21" spans="2:13" ht="26.85" customHeight="1" x14ac:dyDescent="0.25">
      <c r="B21" s="193" t="s">
        <v>478</v>
      </c>
      <c r="C21" s="188"/>
      <c r="D21" s="248" t="s">
        <v>25</v>
      </c>
      <c r="E21" s="248"/>
      <c r="F21" s="841">
        <v>0</v>
      </c>
      <c r="G21" s="620">
        <v>0</v>
      </c>
      <c r="H21" s="423">
        <v>1</v>
      </c>
      <c r="I21" s="423">
        <v>0</v>
      </c>
      <c r="J21" s="423">
        <v>0</v>
      </c>
      <c r="K21" s="423">
        <v>0</v>
      </c>
      <c r="L21" s="423">
        <v>0</v>
      </c>
    </row>
    <row r="22" spans="2:13" ht="26.85" customHeight="1" x14ac:dyDescent="0.25">
      <c r="B22" s="193" t="s">
        <v>500</v>
      </c>
      <c r="C22" s="188"/>
      <c r="D22" s="248" t="s">
        <v>25</v>
      </c>
      <c r="E22" s="248"/>
      <c r="F22" s="841">
        <v>0</v>
      </c>
      <c r="G22" s="620">
        <v>0</v>
      </c>
      <c r="H22" s="423">
        <v>0</v>
      </c>
      <c r="I22" s="423">
        <v>0</v>
      </c>
      <c r="J22" s="423">
        <v>0</v>
      </c>
      <c r="K22" s="423">
        <v>0</v>
      </c>
      <c r="L22" s="423">
        <v>0</v>
      </c>
    </row>
    <row r="23" spans="2:13" x14ac:dyDescent="0.2">
      <c r="B23" s="28"/>
      <c r="C23" s="28"/>
      <c r="D23" s="78"/>
      <c r="E23" s="78"/>
      <c r="F23" s="78"/>
      <c r="G23" s="44"/>
      <c r="H23" s="44"/>
      <c r="I23" s="44"/>
      <c r="J23" s="44"/>
      <c r="K23" s="44"/>
      <c r="L23" s="44"/>
      <c r="M23" s="50"/>
    </row>
    <row r="24" spans="2:13" x14ac:dyDescent="0.2">
      <c r="B24" s="28"/>
      <c r="C24" s="28"/>
      <c r="D24" s="78"/>
      <c r="E24" s="78"/>
      <c r="F24" s="78"/>
      <c r="G24" s="44"/>
      <c r="H24" s="44"/>
      <c r="I24" s="44"/>
      <c r="J24" s="44"/>
      <c r="K24" s="44"/>
      <c r="L24" s="44"/>
      <c r="M24" s="50"/>
    </row>
    <row r="25" spans="2:13" ht="37.35" customHeight="1" x14ac:dyDescent="0.2">
      <c r="B25" s="1013" t="s">
        <v>513</v>
      </c>
      <c r="C25" s="1013"/>
      <c r="D25" s="1013"/>
      <c r="E25" s="1013"/>
      <c r="F25" s="1013"/>
      <c r="G25" s="1013"/>
      <c r="H25" s="1013"/>
      <c r="I25" s="1013"/>
      <c r="J25" s="1013"/>
      <c r="K25" s="1013"/>
      <c r="L25" s="1013"/>
      <c r="M25" s="50"/>
    </row>
  </sheetData>
  <sheetProtection algorithmName="SHA-512" hashValue="veAcHjE6qwBLcACjE7kS0j/FmsRQ8E/2bm69SPGpv09A1yoMElBu91VRu1gdMh+ZKsVkDRL3caTHMtNW2iJUbA==" saltValue="gOeA7PvAy9tXjWKHeJCG7Q==" spinCount="100000" sheet="1" objects="1" scenarios="1"/>
  <protectedRanges>
    <protectedRange algorithmName="SHA-512" hashValue="SBmVKL1PmbJO4BEGzBE2xSftKq5NiG1q1emuti/GVfceCNi5g6XOmQ1IMu3DBdkx1ZhRvUtbpcPo4ef6OYQSig==" saltValue="08oHF2zO3UoJG6Nlb1OgOA==" spinCount="100000" sqref="H12:H15 G18:L22" name="FY20_3_2_1"/>
  </protectedRanges>
  <mergeCells count="2">
    <mergeCell ref="B25:L25"/>
    <mergeCell ref="B2:D2"/>
  </mergeCells>
  <pageMargins left="0.7" right="0.7" top="0.75" bottom="0.75" header="0.3" footer="0.3"/>
  <pageSetup paperSize="9" scale="36" orientation="portrait" r:id="rId1"/>
  <headerFooter>
    <oddFooter>&amp;L_x000D_&amp;1#&amp;"Calibri"&amp;8&amp;K000000 Unclassified</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A447F-1E33-492C-AAC6-03146B29C55C}">
  <sheetPr>
    <tabColor theme="4" tint="-0.499984740745262"/>
    <pageSetUpPr fitToPage="1"/>
  </sheetPr>
  <dimension ref="B1:H99"/>
  <sheetViews>
    <sheetView zoomScale="54" zoomScaleNormal="60" workbookViewId="0">
      <selection activeCell="C2" sqref="C2"/>
    </sheetView>
  </sheetViews>
  <sheetFormatPr defaultColWidth="8.5703125" defaultRowHeight="15" x14ac:dyDescent="0.25"/>
  <cols>
    <col min="1" max="1" width="4.42578125" style="1" customWidth="1"/>
    <col min="2" max="2" width="40.85546875" style="1" customWidth="1"/>
    <col min="3" max="3" width="110.140625" style="1" customWidth="1"/>
    <col min="4" max="4" width="92.85546875" style="1" customWidth="1"/>
    <col min="5" max="5" width="144" style="1" customWidth="1"/>
    <col min="6" max="6" width="8.5703125" style="1"/>
    <col min="7" max="7" width="32.42578125" style="1" customWidth="1"/>
    <col min="8" max="16384" width="8.5703125" style="1"/>
  </cols>
  <sheetData>
    <row r="1" spans="2:8" ht="24.75" customHeight="1" x14ac:dyDescent="0.25"/>
    <row r="2" spans="2:8" ht="81" customHeight="1" x14ac:dyDescent="0.25">
      <c r="B2" s="343" t="s">
        <v>514</v>
      </c>
      <c r="C2" s="600"/>
      <c r="D2" s="600"/>
      <c r="E2" s="277"/>
    </row>
    <row r="3" spans="2:8" ht="24.6" customHeight="1" x14ac:dyDescent="0.25">
      <c r="B3" s="469"/>
      <c r="C3" s="469"/>
      <c r="D3" s="469"/>
      <c r="E3" s="469"/>
    </row>
    <row r="4" spans="2:8" ht="60" customHeight="1" x14ac:dyDescent="0.25">
      <c r="B4" s="599" t="s">
        <v>515</v>
      </c>
      <c r="C4" s="599" t="s">
        <v>516</v>
      </c>
      <c r="D4" s="599" t="s">
        <v>139</v>
      </c>
      <c r="E4" s="599" t="s">
        <v>517</v>
      </c>
    </row>
    <row r="5" spans="2:8" ht="50.1" customHeight="1" x14ac:dyDescent="0.25">
      <c r="B5" s="1022" t="s">
        <v>518</v>
      </c>
      <c r="C5" s="1022"/>
      <c r="D5" s="1022"/>
      <c r="E5" s="1022"/>
    </row>
    <row r="6" spans="2:8" ht="64.5" customHeight="1" x14ac:dyDescent="0.25">
      <c r="B6" s="621" t="s">
        <v>519</v>
      </c>
      <c r="C6" s="572" t="s">
        <v>520</v>
      </c>
      <c r="D6" s="572"/>
      <c r="E6" s="591"/>
    </row>
    <row r="7" spans="2:8" s="569" customFormat="1" ht="31.5" customHeight="1" x14ac:dyDescent="0.25">
      <c r="B7" s="1023" t="s">
        <v>521</v>
      </c>
      <c r="C7" s="1015" t="s">
        <v>522</v>
      </c>
      <c r="D7" s="1015"/>
      <c r="E7" s="1015"/>
      <c r="G7" s="1024"/>
      <c r="H7" s="1024"/>
    </row>
    <row r="8" spans="2:8" s="569" customFormat="1" ht="37.5" customHeight="1" x14ac:dyDescent="0.25">
      <c r="B8" s="1023"/>
      <c r="C8" s="572" t="s">
        <v>523</v>
      </c>
      <c r="D8" s="581"/>
      <c r="E8" s="592"/>
      <c r="G8" s="570"/>
      <c r="H8" s="571"/>
    </row>
    <row r="9" spans="2:8" s="569" customFormat="1" ht="37.5" customHeight="1" x14ac:dyDescent="0.25">
      <c r="B9" s="1023"/>
      <c r="C9" s="572" t="s">
        <v>524</v>
      </c>
      <c r="D9" s="585"/>
      <c r="E9" s="592"/>
      <c r="G9" s="570"/>
      <c r="H9" s="571"/>
    </row>
    <row r="10" spans="2:8" s="569" customFormat="1" ht="37.5" customHeight="1" x14ac:dyDescent="0.25">
      <c r="B10" s="1023"/>
      <c r="C10" s="573" t="s">
        <v>525</v>
      </c>
      <c r="D10" s="585"/>
      <c r="E10" s="585"/>
      <c r="G10" s="570"/>
    </row>
    <row r="11" spans="2:8" s="569" customFormat="1" ht="37.5" customHeight="1" x14ac:dyDescent="0.25">
      <c r="B11" s="1023"/>
      <c r="C11" s="574" t="s">
        <v>526</v>
      </c>
      <c r="D11" s="585"/>
      <c r="E11" s="593"/>
      <c r="G11" s="570"/>
    </row>
    <row r="12" spans="2:8" s="569" customFormat="1" ht="37.5" customHeight="1" x14ac:dyDescent="0.25">
      <c r="B12" s="1023"/>
      <c r="C12" s="574" t="s">
        <v>527</v>
      </c>
      <c r="D12" s="585"/>
      <c r="E12" s="593"/>
    </row>
    <row r="13" spans="2:8" s="569" customFormat="1" ht="31.5" customHeight="1" x14ac:dyDescent="0.25">
      <c r="B13" s="1023"/>
      <c r="C13" s="1015" t="s">
        <v>528</v>
      </c>
      <c r="D13" s="1015"/>
      <c r="E13" s="1015"/>
      <c r="G13" s="1024"/>
      <c r="H13" s="1024"/>
    </row>
    <row r="14" spans="2:8" s="569" customFormat="1" ht="37.5" customHeight="1" x14ac:dyDescent="0.25">
      <c r="B14" s="1023"/>
      <c r="C14" s="574" t="s">
        <v>529</v>
      </c>
      <c r="D14" s="585"/>
      <c r="E14" s="593"/>
      <c r="G14" s="570"/>
      <c r="H14" s="571"/>
    </row>
    <row r="15" spans="2:8" s="569" customFormat="1" ht="37.5" customHeight="1" x14ac:dyDescent="0.25">
      <c r="B15" s="1023"/>
      <c r="C15" s="574" t="s">
        <v>530</v>
      </c>
      <c r="D15" s="575"/>
      <c r="E15" s="593"/>
    </row>
    <row r="16" spans="2:8" s="569" customFormat="1" ht="37.5" customHeight="1" x14ac:dyDescent="0.25">
      <c r="B16" s="1023"/>
      <c r="C16" s="574" t="s">
        <v>531</v>
      </c>
      <c r="D16" s="575"/>
      <c r="E16" s="593"/>
    </row>
    <row r="17" spans="2:5" s="569" customFormat="1" ht="31.5" customHeight="1" x14ac:dyDescent="0.25">
      <c r="B17" s="1023"/>
      <c r="C17" s="1015" t="s">
        <v>532</v>
      </c>
      <c r="D17" s="1015"/>
      <c r="E17" s="1015"/>
    </row>
    <row r="18" spans="2:5" s="569" customFormat="1" ht="56.45" customHeight="1" x14ac:dyDescent="0.25">
      <c r="B18" s="1023"/>
      <c r="C18" s="580" t="s">
        <v>533</v>
      </c>
      <c r="D18" s="576"/>
      <c r="E18" s="587"/>
    </row>
    <row r="19" spans="2:5" s="569" customFormat="1" ht="45.6" customHeight="1" x14ac:dyDescent="0.25">
      <c r="B19" s="1023"/>
      <c r="C19" s="580" t="s">
        <v>534</v>
      </c>
      <c r="D19" s="577"/>
      <c r="E19" s="576"/>
    </row>
    <row r="20" spans="2:5" s="569" customFormat="1" ht="45.6" customHeight="1" x14ac:dyDescent="0.25">
      <c r="B20" s="1023"/>
      <c r="C20" s="580" t="s">
        <v>535</v>
      </c>
      <c r="D20" s="578"/>
      <c r="E20" s="585"/>
    </row>
    <row r="21" spans="2:5" s="569" customFormat="1" ht="45.6" customHeight="1" x14ac:dyDescent="0.25">
      <c r="B21" s="1023"/>
      <c r="C21" s="580" t="s">
        <v>536</v>
      </c>
      <c r="D21" s="578"/>
      <c r="E21" s="579"/>
    </row>
    <row r="22" spans="2:5" s="569" customFormat="1" ht="45.6" customHeight="1" x14ac:dyDescent="0.25">
      <c r="B22" s="1023"/>
      <c r="C22" s="580" t="s">
        <v>537</v>
      </c>
      <c r="D22" s="578"/>
      <c r="E22" s="585"/>
    </row>
    <row r="23" spans="2:5" s="569" customFormat="1" ht="37.5" customHeight="1" x14ac:dyDescent="0.25">
      <c r="B23" s="1023"/>
      <c r="C23" s="580" t="s">
        <v>538</v>
      </c>
      <c r="D23" s="578"/>
      <c r="E23" s="578"/>
    </row>
    <row r="24" spans="2:5" s="569" customFormat="1" ht="30.6" customHeight="1" x14ac:dyDescent="0.25">
      <c r="B24" s="1023"/>
      <c r="C24" s="580" t="s">
        <v>539</v>
      </c>
      <c r="D24" s="585"/>
      <c r="E24" s="585"/>
    </row>
    <row r="25" spans="2:5" s="569" customFormat="1" ht="51" customHeight="1" x14ac:dyDescent="0.25">
      <c r="B25" s="1023"/>
      <c r="C25" s="580" t="s">
        <v>540</v>
      </c>
      <c r="D25" s="578"/>
      <c r="E25" s="634"/>
    </row>
    <row r="26" spans="2:5" s="569" customFormat="1" ht="37.5" customHeight="1" x14ac:dyDescent="0.25">
      <c r="B26" s="1023"/>
      <c r="C26" s="580" t="s">
        <v>541</v>
      </c>
      <c r="D26" s="585"/>
      <c r="E26" s="581"/>
    </row>
    <row r="27" spans="2:5" s="569" customFormat="1" ht="37.5" customHeight="1" x14ac:dyDescent="0.25">
      <c r="B27" s="1023"/>
      <c r="C27" s="580" t="s">
        <v>542</v>
      </c>
      <c r="D27" s="585"/>
      <c r="E27" s="581"/>
    </row>
    <row r="28" spans="2:5" s="569" customFormat="1" ht="37.5" customHeight="1" x14ac:dyDescent="0.25">
      <c r="B28" s="1023"/>
      <c r="C28" s="580" t="s">
        <v>543</v>
      </c>
      <c r="D28" s="578"/>
      <c r="E28" s="581"/>
    </row>
    <row r="29" spans="2:5" s="569" customFormat="1" ht="37.5" customHeight="1" x14ac:dyDescent="0.25">
      <c r="B29" s="1023"/>
      <c r="C29" s="580" t="s">
        <v>544</v>
      </c>
      <c r="D29" s="585"/>
      <c r="E29" s="581"/>
    </row>
    <row r="30" spans="2:5" s="569" customFormat="1" ht="37.5" customHeight="1" x14ac:dyDescent="0.25">
      <c r="B30" s="1023"/>
      <c r="C30" s="580" t="s">
        <v>545</v>
      </c>
      <c r="D30" s="581"/>
      <c r="E30" s="578"/>
    </row>
    <row r="31" spans="2:5" s="569" customFormat="1" ht="31.5" customHeight="1" x14ac:dyDescent="0.25">
      <c r="B31" s="1023"/>
      <c r="C31" s="1025" t="s">
        <v>546</v>
      </c>
      <c r="D31" s="1025"/>
      <c r="E31" s="1025"/>
    </row>
    <row r="32" spans="2:5" s="569" customFormat="1" ht="37.5" customHeight="1" x14ac:dyDescent="0.25">
      <c r="B32" s="1023"/>
      <c r="C32" s="580" t="s">
        <v>547</v>
      </c>
      <c r="D32" s="585"/>
      <c r="E32" s="581"/>
    </row>
    <row r="33" spans="2:5" s="569" customFormat="1" ht="81" customHeight="1" x14ac:dyDescent="0.25">
      <c r="B33" s="1023"/>
      <c r="C33" s="578" t="s">
        <v>548</v>
      </c>
      <c r="D33" s="580"/>
      <c r="E33" s="581"/>
    </row>
    <row r="34" spans="2:5" s="569" customFormat="1" ht="48.95" customHeight="1" x14ac:dyDescent="0.25">
      <c r="B34" s="1023"/>
      <c r="C34" s="578" t="s">
        <v>549</v>
      </c>
      <c r="D34" s="580"/>
      <c r="E34" s="581"/>
    </row>
    <row r="35" spans="2:5" s="569" customFormat="1" ht="41.45" customHeight="1" x14ac:dyDescent="0.25">
      <c r="B35" s="1023"/>
      <c r="C35" s="578" t="s">
        <v>550</v>
      </c>
      <c r="D35" s="578"/>
      <c r="E35" s="588"/>
    </row>
    <row r="36" spans="2:5" s="569" customFormat="1" ht="38.450000000000003" customHeight="1" x14ac:dyDescent="0.25">
      <c r="B36" s="1023"/>
      <c r="C36" s="578" t="s">
        <v>551</v>
      </c>
      <c r="D36" s="578"/>
      <c r="E36" s="588"/>
    </row>
    <row r="37" spans="2:5" s="569" customFormat="1" ht="37.5" customHeight="1" x14ac:dyDescent="0.25">
      <c r="B37" s="1023"/>
      <c r="C37" s="580" t="s">
        <v>552</v>
      </c>
      <c r="D37" s="578"/>
      <c r="E37" s="581"/>
    </row>
    <row r="38" spans="2:5" s="569" customFormat="1" ht="37.5" customHeight="1" x14ac:dyDescent="0.25">
      <c r="B38" s="1023"/>
      <c r="C38" s="580" t="s">
        <v>553</v>
      </c>
      <c r="D38" s="585"/>
      <c r="E38" s="581"/>
    </row>
    <row r="39" spans="2:5" s="569" customFormat="1" ht="31.5" customHeight="1" x14ac:dyDescent="0.25">
      <c r="B39" s="1023"/>
      <c r="C39" s="1025" t="s">
        <v>554</v>
      </c>
      <c r="D39" s="1025"/>
      <c r="E39" s="1025"/>
    </row>
    <row r="40" spans="2:5" s="569" customFormat="1" ht="37.5" customHeight="1" x14ac:dyDescent="0.25">
      <c r="B40" s="1023"/>
      <c r="C40" s="580" t="s">
        <v>555</v>
      </c>
      <c r="D40" s="585"/>
      <c r="E40" s="581"/>
    </row>
    <row r="41" spans="2:5" s="569" customFormat="1" ht="37.5" customHeight="1" x14ac:dyDescent="0.25">
      <c r="B41" s="1023"/>
      <c r="C41" s="580" t="s">
        <v>556</v>
      </c>
      <c r="D41" s="578"/>
      <c r="E41" s="589"/>
    </row>
    <row r="42" spans="2:5" s="569" customFormat="1" ht="37.5" customHeight="1" x14ac:dyDescent="0.25">
      <c r="B42" s="1017" t="s">
        <v>557</v>
      </c>
      <c r="C42" s="581" t="s">
        <v>558</v>
      </c>
      <c r="D42" s="585"/>
      <c r="E42" s="590"/>
    </row>
    <row r="43" spans="2:5" s="569" customFormat="1" ht="37.5" customHeight="1" x14ac:dyDescent="0.25">
      <c r="B43" s="1017"/>
      <c r="C43" s="581" t="s">
        <v>559</v>
      </c>
      <c r="D43" s="585"/>
      <c r="E43" s="590"/>
    </row>
    <row r="44" spans="2:5" s="569" customFormat="1" ht="57" customHeight="1" x14ac:dyDescent="0.25">
      <c r="B44" s="1017"/>
      <c r="C44" s="585" t="s">
        <v>560</v>
      </c>
      <c r="D44" s="580"/>
      <c r="E44" s="590"/>
    </row>
    <row r="45" spans="2:5" s="569" customFormat="1" ht="57" customHeight="1" x14ac:dyDescent="0.25">
      <c r="B45" s="675"/>
      <c r="C45" s="676"/>
      <c r="D45" s="677"/>
      <c r="E45" s="678"/>
    </row>
    <row r="46" spans="2:5" ht="60" customHeight="1" x14ac:dyDescent="0.25">
      <c r="B46" s="599" t="s">
        <v>515</v>
      </c>
      <c r="C46" s="599" t="s">
        <v>516</v>
      </c>
      <c r="D46" s="599" t="s">
        <v>139</v>
      </c>
      <c r="E46" s="599" t="s">
        <v>517</v>
      </c>
    </row>
    <row r="47" spans="2:5" ht="50.1" customHeight="1" x14ac:dyDescent="0.25">
      <c r="B47" s="1018" t="s">
        <v>561</v>
      </c>
      <c r="C47" s="1018"/>
      <c r="D47" s="1018"/>
      <c r="E47" s="1018"/>
    </row>
    <row r="48" spans="2:5" ht="31.5" customHeight="1" x14ac:dyDescent="0.25">
      <c r="B48" s="1015" t="s">
        <v>562</v>
      </c>
      <c r="C48" s="1015"/>
      <c r="D48" s="1015"/>
      <c r="E48" s="1015"/>
    </row>
    <row r="49" spans="2:5" ht="37.5" customHeight="1" x14ac:dyDescent="0.25">
      <c r="B49" s="622" t="s">
        <v>563</v>
      </c>
      <c r="C49" s="582" t="s">
        <v>564</v>
      </c>
      <c r="D49" s="589"/>
      <c r="E49" s="594"/>
    </row>
    <row r="50" spans="2:5" ht="37.5" customHeight="1" x14ac:dyDescent="0.25">
      <c r="B50" s="622" t="s">
        <v>565</v>
      </c>
      <c r="C50" s="583" t="s">
        <v>566</v>
      </c>
      <c r="D50" s="645"/>
      <c r="E50" s="594"/>
    </row>
    <row r="51" spans="2:5" ht="31.5" customHeight="1" x14ac:dyDescent="0.25">
      <c r="B51" s="1019" t="s">
        <v>238</v>
      </c>
      <c r="C51" s="1020"/>
      <c r="D51" s="1020"/>
      <c r="E51" s="1021"/>
    </row>
    <row r="52" spans="2:5" ht="37.5" customHeight="1" x14ac:dyDescent="0.25">
      <c r="B52" s="622" t="s">
        <v>567</v>
      </c>
      <c r="C52" s="584" t="s">
        <v>568</v>
      </c>
      <c r="D52" s="577"/>
      <c r="E52" s="595"/>
    </row>
    <row r="53" spans="2:5" ht="37.5" customHeight="1" x14ac:dyDescent="0.25">
      <c r="B53" s="622" t="s">
        <v>567</v>
      </c>
      <c r="C53" s="584" t="s">
        <v>569</v>
      </c>
      <c r="D53" s="572"/>
      <c r="E53" s="595"/>
    </row>
    <row r="54" spans="2:5" ht="31.5" customHeight="1" x14ac:dyDescent="0.25">
      <c r="B54" s="1015" t="s">
        <v>570</v>
      </c>
      <c r="C54" s="1015"/>
      <c r="D54" s="1015"/>
      <c r="E54" s="1015"/>
    </row>
    <row r="55" spans="2:5" ht="37.5" customHeight="1" x14ac:dyDescent="0.25">
      <c r="B55" s="622" t="s">
        <v>567</v>
      </c>
      <c r="C55" s="583" t="s">
        <v>351</v>
      </c>
      <c r="D55" s="580"/>
      <c r="E55" s="596"/>
    </row>
    <row r="56" spans="2:5" ht="31.5" customHeight="1" x14ac:dyDescent="0.25">
      <c r="B56" s="1015" t="s">
        <v>571</v>
      </c>
      <c r="C56" s="1015"/>
      <c r="D56" s="1015"/>
      <c r="E56" s="1015"/>
    </row>
    <row r="57" spans="2:5" ht="37.5" customHeight="1" x14ac:dyDescent="0.25">
      <c r="B57" s="1016" t="s">
        <v>572</v>
      </c>
      <c r="C57" s="582" t="s">
        <v>573</v>
      </c>
      <c r="D57" s="583"/>
      <c r="E57" s="594"/>
    </row>
    <row r="58" spans="2:5" ht="37.5" customHeight="1" x14ac:dyDescent="0.25">
      <c r="B58" s="1016"/>
      <c r="C58" s="582" t="s">
        <v>574</v>
      </c>
      <c r="D58" s="583"/>
      <c r="E58" s="594"/>
    </row>
    <row r="59" spans="2:5" ht="37.5" customHeight="1" x14ac:dyDescent="0.25">
      <c r="B59" s="1016"/>
      <c r="C59" s="582" t="s">
        <v>575</v>
      </c>
      <c r="D59" s="583"/>
      <c r="E59" s="597"/>
    </row>
    <row r="60" spans="2:5" ht="37.5" customHeight="1" x14ac:dyDescent="0.25">
      <c r="B60" s="1016"/>
      <c r="C60" s="582" t="s">
        <v>576</v>
      </c>
      <c r="D60" s="583"/>
      <c r="E60" s="597"/>
    </row>
    <row r="61" spans="2:5" ht="37.5" customHeight="1" x14ac:dyDescent="0.25">
      <c r="B61" s="1016"/>
      <c r="C61" s="582" t="s">
        <v>577</v>
      </c>
      <c r="D61" s="577"/>
      <c r="E61" s="597"/>
    </row>
    <row r="62" spans="2:5" ht="37.5" customHeight="1" x14ac:dyDescent="0.25">
      <c r="B62" s="1016"/>
      <c r="C62" s="582" t="s">
        <v>578</v>
      </c>
      <c r="D62" s="583"/>
      <c r="E62" s="597"/>
    </row>
    <row r="63" spans="2:5" ht="37.5" customHeight="1" x14ac:dyDescent="0.25">
      <c r="B63" s="1016"/>
      <c r="C63" s="582" t="s">
        <v>579</v>
      </c>
      <c r="D63" s="577"/>
      <c r="E63" s="594"/>
    </row>
    <row r="64" spans="2:5" ht="42" customHeight="1" x14ac:dyDescent="0.25">
      <c r="B64" s="1016"/>
      <c r="C64" s="582" t="s">
        <v>580</v>
      </c>
      <c r="D64" s="583"/>
      <c r="E64" s="594"/>
    </row>
    <row r="65" spans="2:5" ht="31.5" customHeight="1" x14ac:dyDescent="0.25">
      <c r="B65" s="1015" t="s">
        <v>581</v>
      </c>
      <c r="C65" s="1015"/>
      <c r="D65" s="1015"/>
      <c r="E65" s="1015"/>
    </row>
    <row r="66" spans="2:5" ht="50.1" customHeight="1" x14ac:dyDescent="0.25">
      <c r="B66" s="1016" t="s">
        <v>582</v>
      </c>
      <c r="C66" s="582" t="s">
        <v>583</v>
      </c>
      <c r="D66" s="589"/>
      <c r="E66" s="582"/>
    </row>
    <row r="67" spans="2:5" ht="42" customHeight="1" x14ac:dyDescent="0.25">
      <c r="B67" s="1016"/>
      <c r="C67" s="583" t="s">
        <v>584</v>
      </c>
      <c r="D67" s="577"/>
      <c r="E67" s="582"/>
    </row>
    <row r="68" spans="2:5" ht="37.5" customHeight="1" x14ac:dyDescent="0.25">
      <c r="B68" s="622" t="s">
        <v>585</v>
      </c>
      <c r="C68" s="582" t="s">
        <v>586</v>
      </c>
      <c r="D68" s="582"/>
      <c r="E68" s="594"/>
    </row>
    <row r="69" spans="2:5" ht="31.5" customHeight="1" x14ac:dyDescent="0.25">
      <c r="B69" s="1019" t="s">
        <v>587</v>
      </c>
      <c r="C69" s="1020"/>
      <c r="D69" s="1020"/>
      <c r="E69" s="1021"/>
    </row>
    <row r="70" spans="2:5" ht="37.5" customHeight="1" x14ac:dyDescent="0.25">
      <c r="B70" s="1016" t="s">
        <v>588</v>
      </c>
      <c r="C70" s="582" t="s">
        <v>589</v>
      </c>
      <c r="D70" s="581"/>
      <c r="E70" s="594"/>
    </row>
    <row r="71" spans="2:5" ht="42" customHeight="1" x14ac:dyDescent="0.25">
      <c r="B71" s="1016"/>
      <c r="C71" s="583" t="s">
        <v>590</v>
      </c>
      <c r="D71" s="577"/>
      <c r="E71" s="582"/>
    </row>
    <row r="72" spans="2:5" ht="37.5" customHeight="1" x14ac:dyDescent="0.25">
      <c r="B72" s="1016"/>
      <c r="C72" s="582" t="s">
        <v>591</v>
      </c>
      <c r="D72" s="581"/>
      <c r="E72" s="583"/>
    </row>
    <row r="73" spans="2:5" ht="37.5" customHeight="1" x14ac:dyDescent="0.25">
      <c r="B73" s="1016" t="s">
        <v>592</v>
      </c>
      <c r="C73" s="582" t="s">
        <v>593</v>
      </c>
      <c r="D73" s="585"/>
      <c r="E73" s="597"/>
    </row>
    <row r="74" spans="2:5" ht="37.5" customHeight="1" x14ac:dyDescent="0.25">
      <c r="B74" s="1016"/>
      <c r="C74" s="582" t="s">
        <v>594</v>
      </c>
      <c r="D74" s="577"/>
      <c r="E74" s="579"/>
    </row>
    <row r="75" spans="2:5" ht="37.5" customHeight="1" x14ac:dyDescent="0.25">
      <c r="B75" s="1016"/>
      <c r="C75" s="582" t="s">
        <v>595</v>
      </c>
      <c r="D75" s="585"/>
      <c r="E75" s="597"/>
    </row>
    <row r="76" spans="2:5" ht="31.5" customHeight="1" x14ac:dyDescent="0.25">
      <c r="B76" s="1015" t="s">
        <v>596</v>
      </c>
      <c r="C76" s="1015"/>
      <c r="D76" s="1015"/>
      <c r="E76" s="1015"/>
    </row>
    <row r="77" spans="2:5" ht="37.5" customHeight="1" x14ac:dyDescent="0.25">
      <c r="B77" s="623" t="s">
        <v>597</v>
      </c>
      <c r="C77" s="585" t="s">
        <v>598</v>
      </c>
      <c r="D77" s="585"/>
      <c r="E77" s="585"/>
    </row>
    <row r="78" spans="2:5" ht="37.5" customHeight="1" x14ac:dyDescent="0.25">
      <c r="B78" s="1016" t="s">
        <v>599</v>
      </c>
      <c r="C78" s="582" t="s">
        <v>600</v>
      </c>
      <c r="D78" s="578"/>
      <c r="E78" s="579"/>
    </row>
    <row r="79" spans="2:5" ht="42" customHeight="1" x14ac:dyDescent="0.25">
      <c r="B79" s="1016"/>
      <c r="C79" s="582" t="s">
        <v>601</v>
      </c>
      <c r="D79" s="578"/>
      <c r="E79" s="573"/>
    </row>
    <row r="80" spans="2:5" ht="31.5" customHeight="1" x14ac:dyDescent="0.25">
      <c r="B80" s="1015" t="s">
        <v>602</v>
      </c>
      <c r="C80" s="1015"/>
      <c r="D80" s="1015"/>
      <c r="E80" s="1015"/>
    </row>
    <row r="81" spans="2:5" ht="42" customHeight="1" x14ac:dyDescent="0.25">
      <c r="B81" s="1016" t="s">
        <v>603</v>
      </c>
      <c r="C81" s="582" t="s">
        <v>604</v>
      </c>
      <c r="D81" s="580"/>
      <c r="E81" s="582"/>
    </row>
    <row r="82" spans="2:5" ht="42" customHeight="1" x14ac:dyDescent="0.25">
      <c r="B82" s="1016"/>
      <c r="C82" s="582" t="s">
        <v>605</v>
      </c>
      <c r="D82" s="572"/>
      <c r="E82" s="594"/>
    </row>
    <row r="83" spans="2:5" ht="42" customHeight="1" x14ac:dyDescent="0.25">
      <c r="B83" s="1016"/>
      <c r="C83" s="582" t="s">
        <v>606</v>
      </c>
      <c r="D83" s="572"/>
      <c r="E83" s="594"/>
    </row>
    <row r="84" spans="2:5" ht="42" customHeight="1" x14ac:dyDescent="0.25">
      <c r="B84" s="622" t="s">
        <v>607</v>
      </c>
      <c r="C84" s="583" t="s">
        <v>608</v>
      </c>
      <c r="D84" s="580"/>
      <c r="E84" s="594"/>
    </row>
    <row r="85" spans="2:5" ht="31.5" customHeight="1" x14ac:dyDescent="0.25">
      <c r="B85" s="1015" t="s">
        <v>609</v>
      </c>
      <c r="C85" s="1015"/>
      <c r="D85" s="1015"/>
      <c r="E85" s="1015"/>
    </row>
    <row r="86" spans="2:5" ht="42" customHeight="1" x14ac:dyDescent="0.25">
      <c r="B86" s="622" t="s">
        <v>610</v>
      </c>
      <c r="C86" s="583" t="s">
        <v>611</v>
      </c>
      <c r="D86" s="580"/>
      <c r="E86" s="596"/>
    </row>
    <row r="87" spans="2:5" ht="31.5" customHeight="1" x14ac:dyDescent="0.25">
      <c r="B87" s="1015" t="s">
        <v>612</v>
      </c>
      <c r="C87" s="1015"/>
      <c r="D87" s="1015"/>
      <c r="E87" s="1015"/>
    </row>
    <row r="88" spans="2:5" ht="42" customHeight="1" x14ac:dyDescent="0.25">
      <c r="B88" s="624" t="s">
        <v>567</v>
      </c>
      <c r="C88" s="586" t="s">
        <v>347</v>
      </c>
      <c r="D88" s="580"/>
      <c r="E88" s="598"/>
    </row>
    <row r="89" spans="2:5" ht="42" customHeight="1" x14ac:dyDescent="0.25">
      <c r="B89" s="624" t="s">
        <v>567</v>
      </c>
      <c r="C89" s="586" t="s">
        <v>349</v>
      </c>
      <c r="D89" s="580"/>
      <c r="E89" s="598"/>
    </row>
    <row r="90" spans="2:5" ht="31.5" customHeight="1" x14ac:dyDescent="0.25">
      <c r="B90" s="1015" t="s">
        <v>613</v>
      </c>
      <c r="C90" s="1015"/>
      <c r="D90" s="1015"/>
      <c r="E90" s="1015"/>
    </row>
    <row r="91" spans="2:5" ht="42" customHeight="1" x14ac:dyDescent="0.25">
      <c r="B91" s="1016" t="s">
        <v>614</v>
      </c>
      <c r="C91" s="582" t="s">
        <v>615</v>
      </c>
      <c r="D91" s="580"/>
      <c r="E91" s="594"/>
    </row>
    <row r="92" spans="2:5" ht="42" customHeight="1" x14ac:dyDescent="0.25">
      <c r="B92" s="1016"/>
      <c r="C92" s="582" t="s">
        <v>616</v>
      </c>
      <c r="D92" s="580"/>
      <c r="E92" s="594"/>
    </row>
    <row r="93" spans="2:5" ht="42" customHeight="1" x14ac:dyDescent="0.25">
      <c r="B93" s="1016"/>
      <c r="C93" s="582" t="s">
        <v>617</v>
      </c>
      <c r="D93" s="580"/>
      <c r="E93" s="594"/>
    </row>
    <row r="94" spans="2:5" ht="42" customHeight="1" x14ac:dyDescent="0.25">
      <c r="B94" s="1016"/>
      <c r="C94" s="582" t="s">
        <v>618</v>
      </c>
      <c r="D94" s="578"/>
      <c r="E94" s="594"/>
    </row>
    <row r="95" spans="2:5" ht="20.100000000000001" customHeight="1" x14ac:dyDescent="0.25"/>
    <row r="96" spans="2:5" ht="33" customHeight="1" x14ac:dyDescent="0.25"/>
    <row r="97" ht="20.100000000000001" customHeight="1" x14ac:dyDescent="0.25"/>
    <row r="98" ht="31.5" customHeight="1" x14ac:dyDescent="0.25"/>
    <row r="99" ht="29.25" customHeight="1" x14ac:dyDescent="0.25"/>
  </sheetData>
  <mergeCells count="29">
    <mergeCell ref="B5:E5"/>
    <mergeCell ref="B7:B41"/>
    <mergeCell ref="C7:E7"/>
    <mergeCell ref="G7:H7"/>
    <mergeCell ref="C13:E13"/>
    <mergeCell ref="G13:H13"/>
    <mergeCell ref="C17:E17"/>
    <mergeCell ref="C31:E31"/>
    <mergeCell ref="C39:E39"/>
    <mergeCell ref="B73:B75"/>
    <mergeCell ref="B42:B44"/>
    <mergeCell ref="B47:E47"/>
    <mergeCell ref="B48:E48"/>
    <mergeCell ref="B51:E51"/>
    <mergeCell ref="B54:E54"/>
    <mergeCell ref="B56:E56"/>
    <mergeCell ref="B57:B64"/>
    <mergeCell ref="B65:E65"/>
    <mergeCell ref="B66:B67"/>
    <mergeCell ref="B69:E69"/>
    <mergeCell ref="B70:B72"/>
    <mergeCell ref="B90:E90"/>
    <mergeCell ref="B91:B94"/>
    <mergeCell ref="B76:E76"/>
    <mergeCell ref="B78:B79"/>
    <mergeCell ref="B80:E80"/>
    <mergeCell ref="B81:B83"/>
    <mergeCell ref="B85:E85"/>
    <mergeCell ref="B87:E87"/>
  </mergeCells>
  <pageMargins left="0.7" right="0.7" top="0.75" bottom="0.75" header="0.3" footer="0.3"/>
  <pageSetup paperSize="9" scale="1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CC2BE-8CE6-4CFD-BF0F-D52383CF956C}">
  <sheetPr>
    <tabColor theme="9" tint="0.79998168889431442"/>
    <pageSetUpPr fitToPage="1"/>
  </sheetPr>
  <dimension ref="B1:N39"/>
  <sheetViews>
    <sheetView zoomScale="80" zoomScaleNormal="80" workbookViewId="0"/>
  </sheetViews>
  <sheetFormatPr defaultColWidth="9.42578125" defaultRowHeight="15" x14ac:dyDescent="0.2"/>
  <cols>
    <col min="1" max="1" width="4.42578125" style="632" customWidth="1"/>
    <col min="2" max="2" width="65.5703125" style="632" customWidth="1"/>
    <col min="3" max="3" width="20.5703125" style="632" customWidth="1"/>
    <col min="4" max="4" width="9.42578125" style="633" customWidth="1"/>
    <col min="5" max="5" width="15.42578125" style="633" customWidth="1"/>
    <col min="6" max="6" width="27.85546875" style="78" customWidth="1"/>
    <col min="7" max="7" width="26.5703125" style="618" customWidth="1"/>
    <col min="8" max="8" width="23.5703125" style="618" customWidth="1"/>
    <col min="9" max="12" width="21.5703125" style="618" customWidth="1"/>
    <col min="13" max="13" width="19.42578125" style="618" customWidth="1"/>
    <col min="14" max="14" width="21.5703125" style="618" customWidth="1"/>
    <col min="15" max="15" width="35.85546875" style="632" customWidth="1"/>
    <col min="16" max="16384" width="9.42578125" style="632"/>
  </cols>
  <sheetData>
    <row r="1" spans="2:14" ht="24.6" customHeight="1" x14ac:dyDescent="0.2">
      <c r="B1" s="28"/>
      <c r="C1" s="28"/>
      <c r="D1" s="10"/>
      <c r="E1" s="10"/>
      <c r="G1" s="44"/>
      <c r="H1" s="44"/>
      <c r="I1" s="44"/>
      <c r="J1" s="44"/>
      <c r="K1" s="44"/>
      <c r="L1" s="44"/>
      <c r="M1" s="44"/>
      <c r="N1" s="44"/>
    </row>
    <row r="2" spans="2:14" ht="81" customHeight="1" x14ac:dyDescent="0.2">
      <c r="B2" s="600" t="s">
        <v>6</v>
      </c>
      <c r="C2" s="912" t="s">
        <v>7</v>
      </c>
      <c r="D2" s="912"/>
      <c r="E2" s="912"/>
      <c r="F2" s="912"/>
      <c r="G2" s="912"/>
      <c r="H2" s="464"/>
      <c r="I2" s="464"/>
      <c r="J2" s="464"/>
      <c r="K2" s="464"/>
      <c r="L2" s="464"/>
      <c r="M2" s="464"/>
      <c r="N2" s="464"/>
    </row>
    <row r="3" spans="2:14" ht="25.5" customHeight="1" x14ac:dyDescent="0.2">
      <c r="B3" s="77"/>
      <c r="C3" s="77"/>
      <c r="D3" s="10"/>
      <c r="E3" s="10"/>
      <c r="G3" s="44"/>
      <c r="H3" s="44"/>
      <c r="I3" s="44"/>
      <c r="J3" s="44"/>
      <c r="K3" s="44"/>
      <c r="L3" s="44"/>
      <c r="M3" s="44"/>
      <c r="N3" s="44"/>
    </row>
    <row r="4" spans="2:14" ht="26.85" customHeight="1" x14ac:dyDescent="0.2">
      <c r="B4" s="635" t="s">
        <v>8</v>
      </c>
      <c r="C4" s="635"/>
      <c r="D4" s="657" t="s">
        <v>9</v>
      </c>
      <c r="E4" s="657"/>
      <c r="F4" s="658" t="s">
        <v>10</v>
      </c>
      <c r="G4" s="875" t="s">
        <v>11</v>
      </c>
      <c r="H4" s="875" t="s">
        <v>12</v>
      </c>
      <c r="I4" s="875" t="s">
        <v>13</v>
      </c>
      <c r="J4" s="875" t="s">
        <v>14</v>
      </c>
      <c r="K4" s="875" t="s">
        <v>15</v>
      </c>
      <c r="L4" s="875" t="s">
        <v>16</v>
      </c>
      <c r="M4" s="875" t="s">
        <v>17</v>
      </c>
      <c r="N4" s="875" t="s">
        <v>18</v>
      </c>
    </row>
    <row r="5" spans="2:14" ht="26.85" customHeight="1" x14ac:dyDescent="0.25">
      <c r="B5" s="231" t="s">
        <v>19</v>
      </c>
      <c r="C5" s="231"/>
      <c r="D5" s="193" t="s">
        <v>20</v>
      </c>
      <c r="E5" s="180"/>
      <c r="F5" s="799">
        <v>18833677215.880001</v>
      </c>
      <c r="G5" s="204">
        <v>18526107515.619999</v>
      </c>
      <c r="H5" s="187">
        <v>17644817067.599998</v>
      </c>
      <c r="I5" s="187">
        <v>16297498390.799999</v>
      </c>
      <c r="J5" s="187">
        <v>16114762845.9</v>
      </c>
      <c r="K5" s="187">
        <v>16121022903.98</v>
      </c>
      <c r="L5" s="187">
        <v>15751564955.280001</v>
      </c>
      <c r="M5" s="187">
        <v>15125424985.049999</v>
      </c>
      <c r="N5" s="187">
        <v>14750810363.549999</v>
      </c>
    </row>
    <row r="6" spans="2:14" ht="26.85" customHeight="1" x14ac:dyDescent="0.25">
      <c r="B6" s="231" t="s">
        <v>21</v>
      </c>
      <c r="C6" s="231"/>
      <c r="D6" s="180" t="s">
        <v>22</v>
      </c>
      <c r="E6" s="180"/>
      <c r="F6" s="800">
        <v>22275</v>
      </c>
      <c r="G6" s="876">
        <v>22275</v>
      </c>
      <c r="H6" s="877">
        <v>22275</v>
      </c>
      <c r="I6" s="878">
        <v>22275</v>
      </c>
      <c r="J6" s="868">
        <v>22275</v>
      </c>
      <c r="K6" s="184" t="s">
        <v>23</v>
      </c>
      <c r="L6" s="184" t="s">
        <v>23</v>
      </c>
      <c r="M6" s="184" t="s">
        <v>23</v>
      </c>
      <c r="N6" s="184" t="s">
        <v>23</v>
      </c>
    </row>
    <row r="7" spans="2:14" ht="26.85" customHeight="1" x14ac:dyDescent="0.25">
      <c r="B7" s="231" t="s">
        <v>24</v>
      </c>
      <c r="C7" s="231"/>
      <c r="D7" s="193" t="s">
        <v>25</v>
      </c>
      <c r="E7" s="180"/>
      <c r="F7" s="532">
        <v>2</v>
      </c>
      <c r="G7" s="879">
        <v>2</v>
      </c>
      <c r="H7" s="187">
        <v>2</v>
      </c>
      <c r="I7" s="187">
        <v>2</v>
      </c>
      <c r="J7" s="187">
        <v>2</v>
      </c>
      <c r="K7" s="187">
        <v>2</v>
      </c>
      <c r="L7" s="187">
        <v>2</v>
      </c>
      <c r="M7" s="187">
        <v>2</v>
      </c>
      <c r="N7" s="187">
        <v>2</v>
      </c>
    </row>
    <row r="8" spans="2:14" ht="26.85" customHeight="1" x14ac:dyDescent="0.25">
      <c r="B8" s="231" t="s">
        <v>26</v>
      </c>
      <c r="C8" s="231"/>
      <c r="D8" s="193" t="s">
        <v>25</v>
      </c>
      <c r="E8" s="180"/>
      <c r="F8" s="801">
        <v>261243</v>
      </c>
      <c r="G8" s="204">
        <v>259328</v>
      </c>
      <c r="H8" s="187">
        <f>'Ausgrid Power Supplied'!H66</f>
        <v>258541</v>
      </c>
      <c r="I8" s="187">
        <f>'Ausgrid Power Supplied'!I66</f>
        <v>257155</v>
      </c>
      <c r="J8" s="187">
        <f>'Ausgrid Power Supplied'!J66</f>
        <v>256058</v>
      </c>
      <c r="K8" s="187">
        <f>'Ausgrid Power Supplied'!K66</f>
        <v>255160</v>
      </c>
      <c r="L8" s="187">
        <f>'Ausgrid Power Supplied'!L66</f>
        <v>259928</v>
      </c>
      <c r="M8" s="187">
        <f>'Ausgrid Power Supplied'!M66</f>
        <v>258742</v>
      </c>
      <c r="N8" s="187" t="str">
        <f>'Ausgrid Power Supplied'!N66</f>
        <v>-</v>
      </c>
    </row>
    <row r="9" spans="2:14" ht="26.85" customHeight="1" x14ac:dyDescent="0.25">
      <c r="B9" s="231" t="s">
        <v>27</v>
      </c>
      <c r="C9" s="231"/>
      <c r="D9" s="193" t="s">
        <v>25</v>
      </c>
      <c r="E9" s="180"/>
      <c r="F9" s="801">
        <v>516501</v>
      </c>
      <c r="G9" s="204">
        <v>515101</v>
      </c>
      <c r="H9" s="187">
        <v>513517</v>
      </c>
      <c r="I9" s="187">
        <v>512811</v>
      </c>
      <c r="J9" s="187">
        <v>511526</v>
      </c>
      <c r="K9" s="184" t="s">
        <v>23</v>
      </c>
      <c r="L9" s="184" t="s">
        <v>23</v>
      </c>
      <c r="M9" s="184" t="s">
        <v>23</v>
      </c>
      <c r="N9" s="184" t="s">
        <v>23</v>
      </c>
    </row>
    <row r="10" spans="2:14" ht="26.85" customHeight="1" x14ac:dyDescent="0.25">
      <c r="B10" s="231" t="s">
        <v>28</v>
      </c>
      <c r="C10" s="231"/>
      <c r="D10" s="193" t="s">
        <v>29</v>
      </c>
      <c r="E10" s="180"/>
      <c r="F10" s="801">
        <v>46648</v>
      </c>
      <c r="G10" s="204">
        <v>46957</v>
      </c>
      <c r="H10" s="187">
        <v>47523</v>
      </c>
      <c r="I10" s="187">
        <v>48185</v>
      </c>
      <c r="J10" s="187">
        <v>51090</v>
      </c>
      <c r="K10" s="184" t="s">
        <v>23</v>
      </c>
      <c r="L10" s="184" t="s">
        <v>23</v>
      </c>
      <c r="M10" s="184" t="s">
        <v>23</v>
      </c>
      <c r="N10" s="184" t="s">
        <v>23</v>
      </c>
    </row>
    <row r="11" spans="2:14" ht="26.85" customHeight="1" x14ac:dyDescent="0.2">
      <c r="B11" s="345" t="s">
        <v>30</v>
      </c>
      <c r="C11" s="345"/>
      <c r="D11" s="193" t="s">
        <v>31</v>
      </c>
      <c r="E11" s="180"/>
      <c r="F11" s="807">
        <v>0.6</v>
      </c>
      <c r="G11" s="880">
        <v>0.61</v>
      </c>
      <c r="H11" s="881">
        <v>0.62</v>
      </c>
      <c r="I11" s="184" t="s">
        <v>23</v>
      </c>
      <c r="J11" s="184" t="s">
        <v>23</v>
      </c>
      <c r="K11" s="184" t="s">
        <v>23</v>
      </c>
      <c r="L11" s="184" t="s">
        <v>23</v>
      </c>
      <c r="M11" s="184" t="s">
        <v>23</v>
      </c>
      <c r="N11" s="184" t="s">
        <v>23</v>
      </c>
    </row>
    <row r="12" spans="2:14" ht="26.85" customHeight="1" x14ac:dyDescent="0.2">
      <c r="B12" s="345" t="s">
        <v>32</v>
      </c>
      <c r="C12" s="345"/>
      <c r="D12" s="193" t="s">
        <v>31</v>
      </c>
      <c r="E12" s="180"/>
      <c r="F12" s="807">
        <v>0.4</v>
      </c>
      <c r="G12" s="880">
        <v>0.39</v>
      </c>
      <c r="H12" s="881">
        <v>0.38</v>
      </c>
      <c r="I12" s="184" t="s">
        <v>23</v>
      </c>
      <c r="J12" s="184" t="s">
        <v>23</v>
      </c>
      <c r="K12" s="184" t="s">
        <v>23</v>
      </c>
      <c r="L12" s="184" t="s">
        <v>23</v>
      </c>
      <c r="M12" s="184" t="s">
        <v>23</v>
      </c>
      <c r="N12" s="184" t="s">
        <v>23</v>
      </c>
    </row>
    <row r="13" spans="2:14" ht="26.85" customHeight="1" x14ac:dyDescent="0.25">
      <c r="B13" s="231" t="s">
        <v>33</v>
      </c>
      <c r="C13" s="231"/>
      <c r="D13" s="193" t="s">
        <v>25</v>
      </c>
      <c r="E13" s="180"/>
      <c r="F13" s="801">
        <v>33764</v>
      </c>
      <c r="G13" s="204">
        <v>33351</v>
      </c>
      <c r="H13" s="187">
        <v>33346</v>
      </c>
      <c r="I13" s="187">
        <v>33179</v>
      </c>
      <c r="J13" s="187">
        <v>33064</v>
      </c>
      <c r="K13" s="184" t="s">
        <v>23</v>
      </c>
      <c r="L13" s="184" t="s">
        <v>23</v>
      </c>
      <c r="M13" s="184" t="s">
        <v>23</v>
      </c>
      <c r="N13" s="184" t="s">
        <v>23</v>
      </c>
    </row>
    <row r="14" spans="2:14" ht="26.85" customHeight="1" x14ac:dyDescent="0.25">
      <c r="B14" s="231" t="s">
        <v>34</v>
      </c>
      <c r="C14" s="231"/>
      <c r="D14" s="193" t="s">
        <v>25</v>
      </c>
      <c r="E14" s="180"/>
      <c r="F14" s="802">
        <v>229</v>
      </c>
      <c r="G14" s="207">
        <v>230</v>
      </c>
      <c r="H14" s="185">
        <v>230</v>
      </c>
      <c r="I14" s="185">
        <v>237</v>
      </c>
      <c r="J14" s="185">
        <v>231</v>
      </c>
      <c r="K14" s="184" t="s">
        <v>23</v>
      </c>
      <c r="L14" s="184" t="s">
        <v>23</v>
      </c>
      <c r="M14" s="184" t="s">
        <v>23</v>
      </c>
      <c r="N14" s="184" t="s">
        <v>23</v>
      </c>
    </row>
    <row r="15" spans="2:14" ht="26.85" customHeight="1" x14ac:dyDescent="0.25">
      <c r="B15" s="231" t="s">
        <v>35</v>
      </c>
      <c r="C15" s="231"/>
      <c r="D15" s="193" t="s">
        <v>25</v>
      </c>
      <c r="E15" s="180"/>
      <c r="F15" s="532">
        <v>24</v>
      </c>
      <c r="G15" s="207">
        <v>26</v>
      </c>
      <c r="H15" s="184" t="s">
        <v>23</v>
      </c>
      <c r="I15" s="184" t="s">
        <v>23</v>
      </c>
      <c r="J15" s="184" t="s">
        <v>23</v>
      </c>
      <c r="K15" s="184" t="s">
        <v>23</v>
      </c>
      <c r="L15" s="184" t="s">
        <v>23</v>
      </c>
      <c r="M15" s="184" t="s">
        <v>23</v>
      </c>
      <c r="N15" s="184" t="s">
        <v>23</v>
      </c>
    </row>
    <row r="16" spans="2:14" ht="26.85" customHeight="1" x14ac:dyDescent="0.25">
      <c r="B16" s="231" t="s">
        <v>36</v>
      </c>
      <c r="C16" s="231"/>
      <c r="D16" s="193"/>
      <c r="E16" s="180"/>
      <c r="F16" s="803"/>
      <c r="G16" s="207"/>
      <c r="H16" s="185"/>
      <c r="I16" s="185"/>
      <c r="J16" s="185"/>
      <c r="K16" s="185"/>
      <c r="L16" s="185"/>
      <c r="M16" s="185"/>
      <c r="N16" s="185"/>
    </row>
    <row r="17" spans="2:14" ht="26.85" customHeight="1" x14ac:dyDescent="0.2">
      <c r="B17" s="345" t="s">
        <v>37</v>
      </c>
      <c r="C17" s="345"/>
      <c r="D17" s="193" t="s">
        <v>25</v>
      </c>
      <c r="E17" s="180"/>
      <c r="F17" s="532">
        <v>104</v>
      </c>
      <c r="G17" s="207">
        <v>77</v>
      </c>
      <c r="H17" s="218">
        <v>10</v>
      </c>
      <c r="I17" s="218">
        <v>2</v>
      </c>
      <c r="J17" s="218">
        <v>2</v>
      </c>
      <c r="K17" s="218">
        <v>2</v>
      </c>
      <c r="L17" s="218">
        <v>2</v>
      </c>
      <c r="M17" s="218">
        <v>2</v>
      </c>
      <c r="N17" s="218">
        <v>0</v>
      </c>
    </row>
    <row r="18" spans="2:14" ht="26.85" customHeight="1" x14ac:dyDescent="0.2">
      <c r="B18" s="345" t="s">
        <v>38</v>
      </c>
      <c r="C18" s="345"/>
      <c r="D18" s="193" t="s">
        <v>31</v>
      </c>
      <c r="E18" s="180"/>
      <c r="F18" s="808">
        <v>0.54700000000000004</v>
      </c>
      <c r="G18" s="205">
        <v>0.30919999999999997</v>
      </c>
      <c r="H18" s="206">
        <v>4.7199999999999999E-2</v>
      </c>
      <c r="I18" s="206">
        <v>1.24E-2</v>
      </c>
      <c r="J18" s="206">
        <v>1.09E-2</v>
      </c>
      <c r="K18" s="206">
        <v>7.9000000000000008E-3</v>
      </c>
      <c r="L18" s="206">
        <v>6.4000000000000003E-3</v>
      </c>
      <c r="M18" s="206">
        <v>4.7000000000000002E-3</v>
      </c>
      <c r="N18" s="882">
        <v>0</v>
      </c>
    </row>
    <row r="19" spans="2:14" ht="26.85" customHeight="1" x14ac:dyDescent="0.2">
      <c r="B19" s="345" t="s">
        <v>39</v>
      </c>
      <c r="C19" s="345"/>
      <c r="D19" s="193" t="s">
        <v>25</v>
      </c>
      <c r="E19" s="180"/>
      <c r="F19" s="532">
        <v>5</v>
      </c>
      <c r="G19" s="207">
        <v>1</v>
      </c>
      <c r="H19" s="218">
        <v>0</v>
      </c>
      <c r="I19" s="218">
        <v>0</v>
      </c>
      <c r="J19" s="218">
        <v>0</v>
      </c>
      <c r="K19" s="218">
        <v>0</v>
      </c>
      <c r="L19" s="218">
        <v>0</v>
      </c>
      <c r="M19" s="218">
        <v>0</v>
      </c>
      <c r="N19" s="218">
        <v>0</v>
      </c>
    </row>
    <row r="20" spans="2:14" ht="26.85" customHeight="1" x14ac:dyDescent="0.2">
      <c r="B20" s="345" t="s">
        <v>40</v>
      </c>
      <c r="C20" s="345"/>
      <c r="D20" s="193" t="s">
        <v>31</v>
      </c>
      <c r="E20" s="180"/>
      <c r="F20" s="804">
        <v>5.4000000000000003E-3</v>
      </c>
      <c r="G20" s="205">
        <v>8.9999999999999998E-4</v>
      </c>
      <c r="H20" s="882">
        <v>0</v>
      </c>
      <c r="I20" s="882">
        <v>0</v>
      </c>
      <c r="J20" s="882">
        <v>0</v>
      </c>
      <c r="K20" s="882">
        <v>0</v>
      </c>
      <c r="L20" s="882">
        <v>0</v>
      </c>
      <c r="M20" s="882">
        <v>0</v>
      </c>
      <c r="N20" s="882">
        <v>0</v>
      </c>
    </row>
    <row r="21" spans="2:14" ht="26.85" customHeight="1" x14ac:dyDescent="0.2">
      <c r="B21" s="345" t="s">
        <v>41</v>
      </c>
      <c r="C21" s="345"/>
      <c r="D21" s="193" t="s">
        <v>25</v>
      </c>
      <c r="E21" s="180"/>
      <c r="F21" s="532">
        <v>4</v>
      </c>
      <c r="G21" s="207">
        <v>3</v>
      </c>
      <c r="H21" s="218">
        <v>0</v>
      </c>
      <c r="I21" s="218">
        <v>0</v>
      </c>
      <c r="J21" s="218">
        <v>0</v>
      </c>
      <c r="K21" s="218">
        <v>0</v>
      </c>
      <c r="L21" s="218">
        <v>0</v>
      </c>
      <c r="M21" s="218">
        <v>0</v>
      </c>
      <c r="N21" s="218">
        <v>0</v>
      </c>
    </row>
    <row r="22" spans="2:14" ht="26.85" customHeight="1" x14ac:dyDescent="0.2">
      <c r="B22" s="345" t="s">
        <v>42</v>
      </c>
      <c r="C22" s="345"/>
      <c r="D22" s="193" t="s">
        <v>31</v>
      </c>
      <c r="E22" s="180"/>
      <c r="F22" s="804">
        <v>9.9000000000000008E-3</v>
      </c>
      <c r="G22" s="205">
        <v>6.4999999999999997E-3</v>
      </c>
      <c r="H22" s="882">
        <v>0</v>
      </c>
      <c r="I22" s="882">
        <v>0</v>
      </c>
      <c r="J22" s="882">
        <v>0</v>
      </c>
      <c r="K22" s="882">
        <v>0</v>
      </c>
      <c r="L22" s="882">
        <v>0</v>
      </c>
      <c r="M22" s="882">
        <v>0</v>
      </c>
      <c r="N22" s="882">
        <v>0</v>
      </c>
    </row>
    <row r="23" spans="2:14" ht="26.85" customHeight="1" x14ac:dyDescent="0.2">
      <c r="B23" s="913" t="s">
        <v>43</v>
      </c>
      <c r="C23" s="913"/>
      <c r="D23" s="913"/>
      <c r="E23" s="913"/>
      <c r="F23" s="913"/>
      <c r="G23" s="913"/>
      <c r="H23" s="741"/>
      <c r="I23" s="741"/>
      <c r="J23" s="741"/>
      <c r="K23" s="741"/>
      <c r="L23" s="741"/>
      <c r="M23" s="741"/>
      <c r="N23" s="741"/>
    </row>
    <row r="24" spans="2:14" ht="26.85" customHeight="1" x14ac:dyDescent="0.2">
      <c r="B24" s="28"/>
      <c r="C24" s="28"/>
      <c r="D24" s="10"/>
      <c r="E24" s="10"/>
      <c r="G24" s="44"/>
      <c r="H24" s="44"/>
      <c r="I24" s="44"/>
      <c r="J24" s="44"/>
      <c r="K24" s="44"/>
      <c r="L24" s="44"/>
      <c r="M24" s="44"/>
      <c r="N24" s="44"/>
    </row>
    <row r="25" spans="2:14" ht="26.85" customHeight="1" x14ac:dyDescent="0.2">
      <c r="B25" s="635" t="s">
        <v>619</v>
      </c>
      <c r="C25" s="635"/>
      <c r="D25" s="657" t="s">
        <v>9</v>
      </c>
      <c r="E25" s="657"/>
      <c r="F25" s="658" t="s">
        <v>10</v>
      </c>
      <c r="G25" s="875" t="s">
        <v>11</v>
      </c>
      <c r="H25" s="875" t="s">
        <v>12</v>
      </c>
      <c r="I25" s="875" t="s">
        <v>13</v>
      </c>
      <c r="J25" s="875" t="s">
        <v>14</v>
      </c>
      <c r="K25" s="875" t="s">
        <v>15</v>
      </c>
      <c r="L25" s="875" t="s">
        <v>16</v>
      </c>
      <c r="M25" s="875" t="s">
        <v>17</v>
      </c>
      <c r="N25" s="875" t="s">
        <v>18</v>
      </c>
    </row>
    <row r="26" spans="2:14" ht="26.85" customHeight="1" x14ac:dyDescent="0.2">
      <c r="B26" s="193" t="s">
        <v>44</v>
      </c>
      <c r="C26" s="345"/>
      <c r="D26" s="193" t="s">
        <v>31</v>
      </c>
      <c r="E26" s="180"/>
      <c r="F26" s="804">
        <f>1-F27-F28</f>
        <v>0.97312360793510744</v>
      </c>
      <c r="G26" s="883">
        <f t="shared" ref="G26:N26" si="0">1-G27-G28</f>
        <v>0.9754225211028692</v>
      </c>
      <c r="H26" s="883">
        <f t="shared" si="0"/>
        <v>0.98013034659336007</v>
      </c>
      <c r="I26" s="883">
        <f t="shared" si="0"/>
        <v>0.97717374044415628</v>
      </c>
      <c r="J26" s="883">
        <f t="shared" si="0"/>
        <v>0.99106892565840043</v>
      </c>
      <c r="K26" s="883">
        <f t="shared" si="0"/>
        <v>0.99230166250311014</v>
      </c>
      <c r="L26" s="883">
        <f t="shared" si="0"/>
        <v>0.99401300862097008</v>
      </c>
      <c r="M26" s="883">
        <f t="shared" si="0"/>
        <v>0.99346587779231865</v>
      </c>
      <c r="N26" s="883">
        <f t="shared" si="0"/>
        <v>0.99504084414585559</v>
      </c>
    </row>
    <row r="27" spans="2:14" ht="26.85" customHeight="1" x14ac:dyDescent="0.2">
      <c r="B27" s="193" t="s">
        <v>45</v>
      </c>
      <c r="C27" s="345"/>
      <c r="D27" s="193" t="s">
        <v>31</v>
      </c>
      <c r="E27" s="180"/>
      <c r="F27" s="804">
        <v>1.9900000000000001E-2</v>
      </c>
      <c r="G27" s="884">
        <v>1.9612900896050247E-2</v>
      </c>
      <c r="H27" s="885">
        <v>1.4665788776890816E-2</v>
      </c>
      <c r="I27" s="885">
        <v>1.5265113127233632E-2</v>
      </c>
      <c r="J27" s="885">
        <v>2.3543513972848805E-3</v>
      </c>
      <c r="K27" s="885">
        <v>1.7200534760479496E-3</v>
      </c>
      <c r="L27" s="885">
        <v>1.6275952751234775E-3</v>
      </c>
      <c r="M27" s="885">
        <v>1.434860925829594E-3</v>
      </c>
      <c r="N27" s="885">
        <v>1.0535486175748357E-3</v>
      </c>
    </row>
    <row r="28" spans="2:14" ht="26.85" customHeight="1" x14ac:dyDescent="0.2">
      <c r="B28" s="193" t="s">
        <v>46</v>
      </c>
      <c r="C28" s="345"/>
      <c r="D28" s="193" t="s">
        <v>31</v>
      </c>
      <c r="E28" s="180"/>
      <c r="F28" s="805">
        <v>6.9763920648925337E-3</v>
      </c>
      <c r="G28" s="884">
        <v>4.9645780010805218E-3</v>
      </c>
      <c r="H28" s="885">
        <v>5.2038646297490887E-3</v>
      </c>
      <c r="I28" s="885">
        <v>7.5611464286100549E-3</v>
      </c>
      <c r="J28" s="885">
        <v>6.5767229443146613E-3</v>
      </c>
      <c r="K28" s="885">
        <v>5.9782840208418841E-3</v>
      </c>
      <c r="L28" s="885">
        <v>4.3593961039064544E-3</v>
      </c>
      <c r="M28" s="885">
        <v>5.0992612818517857E-3</v>
      </c>
      <c r="N28" s="885">
        <v>3.9056072365696304E-3</v>
      </c>
    </row>
    <row r="29" spans="2:14" ht="26.85" customHeight="1" x14ac:dyDescent="0.2">
      <c r="B29" s="193" t="s">
        <v>47</v>
      </c>
      <c r="C29" s="345"/>
      <c r="D29" s="193" t="s">
        <v>25</v>
      </c>
      <c r="E29" s="180"/>
      <c r="F29" s="532">
        <v>1445</v>
      </c>
      <c r="G29" s="207">
        <v>1482</v>
      </c>
      <c r="H29" s="886">
        <v>1452</v>
      </c>
      <c r="I29" s="886">
        <v>1361</v>
      </c>
      <c r="J29" s="886">
        <v>1354</v>
      </c>
      <c r="K29" s="886">
        <v>1582</v>
      </c>
      <c r="L29" s="886">
        <v>2066</v>
      </c>
      <c r="M29" s="886">
        <v>2051</v>
      </c>
      <c r="N29" s="886">
        <v>2025</v>
      </c>
    </row>
    <row r="30" spans="2:14" ht="26.85" customHeight="1" x14ac:dyDescent="0.2">
      <c r="B30" s="193" t="s">
        <v>48</v>
      </c>
      <c r="C30" s="345"/>
      <c r="D30" s="193" t="s">
        <v>20</v>
      </c>
      <c r="E30" s="180"/>
      <c r="F30" s="806">
        <v>814135680.32999837</v>
      </c>
      <c r="G30" s="204">
        <v>821145307.63999951</v>
      </c>
      <c r="H30" s="887">
        <v>761087543.93000078</v>
      </c>
      <c r="I30" s="887">
        <v>531769054.85999966</v>
      </c>
      <c r="J30" s="887">
        <v>437961967.44000024</v>
      </c>
      <c r="K30" s="887">
        <v>648198835.39999855</v>
      </c>
      <c r="L30" s="887">
        <v>1010474142.5200006</v>
      </c>
      <c r="M30" s="887">
        <v>721860308.09999859</v>
      </c>
      <c r="N30" s="887">
        <v>813535242.4200002</v>
      </c>
    </row>
    <row r="31" spans="2:14" ht="27.75" customHeight="1" x14ac:dyDescent="0.2">
      <c r="B31" s="913" t="s">
        <v>620</v>
      </c>
      <c r="C31" s="913"/>
      <c r="D31" s="913"/>
      <c r="E31" s="913"/>
      <c r="F31" s="913"/>
      <c r="G31" s="913"/>
      <c r="H31" s="780"/>
      <c r="I31" s="780"/>
      <c r="J31" s="780"/>
      <c r="K31" s="780"/>
      <c r="L31" s="780"/>
      <c r="M31" s="780"/>
      <c r="N31" s="780"/>
    </row>
    <row r="32" spans="2:14" x14ac:dyDescent="0.2">
      <c r="B32" s="28"/>
      <c r="C32" s="28"/>
      <c r="D32" s="10"/>
      <c r="E32" s="603"/>
      <c r="F32" s="781"/>
      <c r="G32" s="44"/>
      <c r="H32" s="44"/>
      <c r="I32" s="44"/>
      <c r="J32" s="44"/>
      <c r="K32" s="44"/>
      <c r="L32" s="44"/>
      <c r="M32" s="44"/>
      <c r="N32" s="44"/>
    </row>
    <row r="34" spans="2:8" x14ac:dyDescent="0.2">
      <c r="B34" s="28"/>
      <c r="C34" s="28"/>
      <c r="D34" s="10"/>
      <c r="E34" s="10"/>
      <c r="G34" s="44"/>
      <c r="H34" s="780"/>
    </row>
    <row r="39" spans="2:8" x14ac:dyDescent="0.2">
      <c r="B39" s="47"/>
      <c r="C39" s="47"/>
      <c r="D39" s="10"/>
      <c r="E39" s="10"/>
      <c r="G39" s="44"/>
      <c r="H39" s="44"/>
    </row>
  </sheetData>
  <sheetProtection algorithmName="SHA-512" hashValue="IPy785OpQ766BQ0jchVr7wSwn7rE/Pk6agk5KYLKj2lIbYPT7MZVvAnQnhVyJ1J5zscb/P2asxAKn9KI5uCc1Q==" saltValue="8qeCnC7LTEn29ItHH968xg==" spinCount="100000" sheet="1" objects="1" scenarios="1"/>
  <mergeCells count="3">
    <mergeCell ref="C2:G2"/>
    <mergeCell ref="B23:G23"/>
    <mergeCell ref="B31:G31"/>
  </mergeCells>
  <pageMargins left="0.7" right="0.7" top="0.75" bottom="0.75" header="0.3" footer="0.3"/>
  <pageSetup paperSize="9" scale="2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6C999-7C65-462C-87A0-D45AF3A0764E}">
  <sheetPr codeName="Sheet1">
    <tabColor theme="5" tint="0.79998168889431442"/>
    <pageSetUpPr fitToPage="1"/>
  </sheetPr>
  <dimension ref="B1:O35"/>
  <sheetViews>
    <sheetView topLeftCell="A2" zoomScale="80" zoomScaleNormal="70" workbookViewId="0">
      <selection activeCell="C23" sqref="C23"/>
    </sheetView>
  </sheetViews>
  <sheetFormatPr defaultColWidth="9.42578125" defaultRowHeight="15" x14ac:dyDescent="0.2"/>
  <cols>
    <col min="1" max="1" width="4.42578125" style="28" customWidth="1"/>
    <col min="2" max="2" width="65.5703125" style="28" customWidth="1"/>
    <col min="3" max="3" width="20.5703125" style="28" customWidth="1"/>
    <col min="4" max="4" width="9.42578125" style="10" customWidth="1"/>
    <col min="5" max="5" width="15.42578125" style="10" customWidth="1"/>
    <col min="6" max="6" width="27.5703125" style="10" customWidth="1"/>
    <col min="7" max="7" width="26.5703125" style="44" customWidth="1"/>
    <col min="8" max="8" width="23.5703125" style="16" customWidth="1"/>
    <col min="9" max="12" width="21.5703125" style="16" customWidth="1"/>
    <col min="13" max="13" width="19.42578125" style="16" customWidth="1"/>
    <col min="14" max="14" width="21.5703125" style="16" customWidth="1"/>
    <col min="15" max="16384" width="9.42578125" style="28"/>
  </cols>
  <sheetData>
    <row r="1" spans="2:15" ht="24.6" customHeight="1" x14ac:dyDescent="0.2"/>
    <row r="2" spans="2:15" ht="81" customHeight="1" x14ac:dyDescent="0.2">
      <c r="B2" s="464" t="s">
        <v>49</v>
      </c>
      <c r="C2" s="914" t="s">
        <v>7</v>
      </c>
      <c r="D2" s="914"/>
      <c r="E2" s="914"/>
      <c r="F2" s="914"/>
      <c r="G2" s="914"/>
      <c r="H2" s="277"/>
      <c r="I2" s="277"/>
      <c r="J2" s="277"/>
      <c r="K2" s="277"/>
      <c r="L2" s="277"/>
      <c r="M2" s="277"/>
      <c r="N2" s="277"/>
      <c r="O2" s="28" t="s">
        <v>50</v>
      </c>
    </row>
    <row r="3" spans="2:15" ht="25.5" customHeight="1" x14ac:dyDescent="0.2">
      <c r="B3" s="77"/>
      <c r="C3" s="77"/>
    </row>
    <row r="4" spans="2:15" ht="26.85" customHeight="1" x14ac:dyDescent="0.2">
      <c r="B4" s="6" t="s">
        <v>51</v>
      </c>
      <c r="C4" s="6"/>
      <c r="D4" s="7" t="s">
        <v>9</v>
      </c>
      <c r="E4" s="7"/>
      <c r="F4" s="8" t="s">
        <v>10</v>
      </c>
      <c r="G4" s="9" t="s">
        <v>11</v>
      </c>
      <c r="H4" s="9" t="s">
        <v>12</v>
      </c>
      <c r="I4" s="9" t="s">
        <v>13</v>
      </c>
      <c r="J4" s="9" t="s">
        <v>14</v>
      </c>
      <c r="K4" s="9" t="s">
        <v>15</v>
      </c>
      <c r="L4" s="9" t="s">
        <v>16</v>
      </c>
      <c r="M4" s="9" t="s">
        <v>17</v>
      </c>
      <c r="N4" s="9" t="s">
        <v>18</v>
      </c>
    </row>
    <row r="5" spans="2:15" ht="26.85" customHeight="1" x14ac:dyDescent="0.25">
      <c r="B5" s="231" t="s">
        <v>52</v>
      </c>
      <c r="C5" s="345"/>
      <c r="D5" s="193"/>
      <c r="E5" s="180"/>
      <c r="F5" s="180"/>
      <c r="G5" s="217"/>
      <c r="H5" s="372"/>
      <c r="I5" s="372"/>
      <c r="J5" s="372"/>
      <c r="K5" s="372"/>
      <c r="L5" s="372"/>
      <c r="M5" s="372"/>
      <c r="N5" s="372"/>
    </row>
    <row r="6" spans="2:15" ht="26.85" customHeight="1" x14ac:dyDescent="0.25">
      <c r="B6" s="345" t="s">
        <v>53</v>
      </c>
      <c r="C6" s="345"/>
      <c r="D6" s="193" t="s">
        <v>54</v>
      </c>
      <c r="E6" s="180"/>
      <c r="F6" s="233">
        <v>2.2000000000000002</v>
      </c>
      <c r="G6" s="217">
        <v>1.7</v>
      </c>
      <c r="H6" s="372" t="s">
        <v>23</v>
      </c>
      <c r="I6" s="372" t="s">
        <v>23</v>
      </c>
      <c r="J6" s="372" t="s">
        <v>23</v>
      </c>
      <c r="K6" s="372" t="s">
        <v>23</v>
      </c>
      <c r="L6" s="372" t="s">
        <v>23</v>
      </c>
      <c r="M6" s="372" t="s">
        <v>23</v>
      </c>
      <c r="N6" s="372" t="s">
        <v>23</v>
      </c>
    </row>
    <row r="7" spans="2:15" ht="26.85" customHeight="1" x14ac:dyDescent="0.25">
      <c r="B7" s="345" t="s">
        <v>55</v>
      </c>
      <c r="C7" s="345"/>
      <c r="D7" s="193" t="s">
        <v>25</v>
      </c>
      <c r="E7" s="180"/>
      <c r="F7" s="809">
        <v>4869643</v>
      </c>
      <c r="G7" s="374">
        <v>5351773</v>
      </c>
      <c r="H7" s="372" t="s">
        <v>23</v>
      </c>
      <c r="I7" s="372" t="s">
        <v>23</v>
      </c>
      <c r="J7" s="372" t="s">
        <v>23</v>
      </c>
      <c r="K7" s="372" t="s">
        <v>23</v>
      </c>
      <c r="L7" s="372" t="s">
        <v>23</v>
      </c>
      <c r="M7" s="372" t="s">
        <v>23</v>
      </c>
      <c r="N7" s="372" t="s">
        <v>23</v>
      </c>
    </row>
    <row r="8" spans="2:15" ht="26.85" customHeight="1" x14ac:dyDescent="0.25">
      <c r="B8" s="231" t="s">
        <v>56</v>
      </c>
      <c r="C8" s="345"/>
      <c r="D8" s="193"/>
      <c r="E8" s="180"/>
      <c r="F8" s="647"/>
      <c r="G8" s="217"/>
      <c r="H8" s="372"/>
      <c r="I8" s="372"/>
      <c r="J8" s="372"/>
      <c r="K8" s="372"/>
      <c r="L8" s="372"/>
      <c r="M8" s="372"/>
      <c r="N8" s="372"/>
    </row>
    <row r="9" spans="2:15" ht="26.85" customHeight="1" x14ac:dyDescent="0.25">
      <c r="B9" s="345" t="s">
        <v>57</v>
      </c>
      <c r="C9" s="345"/>
      <c r="D9" s="193" t="s">
        <v>25</v>
      </c>
      <c r="E9" s="180"/>
      <c r="F9" s="809">
        <v>212561</v>
      </c>
      <c r="G9" s="374">
        <v>127126</v>
      </c>
      <c r="H9" s="372" t="s">
        <v>23</v>
      </c>
      <c r="I9" s="372" t="s">
        <v>23</v>
      </c>
      <c r="J9" s="372" t="s">
        <v>23</v>
      </c>
      <c r="K9" s="372" t="s">
        <v>23</v>
      </c>
      <c r="L9" s="372" t="s">
        <v>23</v>
      </c>
      <c r="M9" s="372" t="s">
        <v>23</v>
      </c>
      <c r="N9" s="372" t="s">
        <v>23</v>
      </c>
    </row>
    <row r="10" spans="2:15" ht="26.85" customHeight="1" x14ac:dyDescent="0.25">
      <c r="B10" s="345" t="s">
        <v>58</v>
      </c>
      <c r="C10" s="345"/>
      <c r="D10" s="193" t="s">
        <v>25</v>
      </c>
      <c r="E10" s="180"/>
      <c r="F10" s="809">
        <v>77314</v>
      </c>
      <c r="G10" s="374">
        <v>39312</v>
      </c>
      <c r="H10" s="372" t="s">
        <v>23</v>
      </c>
      <c r="I10" s="372" t="s">
        <v>23</v>
      </c>
      <c r="J10" s="372" t="s">
        <v>23</v>
      </c>
      <c r="K10" s="372" t="s">
        <v>23</v>
      </c>
      <c r="L10" s="372" t="s">
        <v>23</v>
      </c>
      <c r="M10" s="372" t="s">
        <v>23</v>
      </c>
      <c r="N10" s="372" t="s">
        <v>23</v>
      </c>
    </row>
    <row r="11" spans="2:15" ht="26.85" customHeight="1" x14ac:dyDescent="0.25">
      <c r="B11" s="345" t="s">
        <v>59</v>
      </c>
      <c r="C11" s="345"/>
      <c r="D11" s="193" t="s">
        <v>25</v>
      </c>
      <c r="E11" s="180"/>
      <c r="F11" s="809">
        <v>68187</v>
      </c>
      <c r="G11" s="374">
        <v>36647</v>
      </c>
      <c r="H11" s="372" t="s">
        <v>23</v>
      </c>
      <c r="I11" s="372" t="s">
        <v>23</v>
      </c>
      <c r="J11" s="372" t="s">
        <v>23</v>
      </c>
      <c r="K11" s="372" t="s">
        <v>23</v>
      </c>
      <c r="L11" s="372" t="s">
        <v>23</v>
      </c>
      <c r="M11" s="372" t="s">
        <v>23</v>
      </c>
      <c r="N11" s="372" t="s">
        <v>23</v>
      </c>
    </row>
    <row r="12" spans="2:15" ht="26.85" customHeight="1" x14ac:dyDescent="0.25">
      <c r="B12" s="231" t="s">
        <v>60</v>
      </c>
      <c r="C12" s="345"/>
      <c r="D12" s="193"/>
      <c r="E12" s="180"/>
      <c r="F12" s="647"/>
      <c r="G12" s="374"/>
      <c r="H12" s="372"/>
      <c r="I12" s="372"/>
      <c r="J12" s="372"/>
      <c r="K12" s="372"/>
      <c r="L12" s="372"/>
      <c r="M12" s="372"/>
      <c r="N12" s="372"/>
    </row>
    <row r="13" spans="2:15" ht="26.85" customHeight="1" x14ac:dyDescent="0.25">
      <c r="B13" s="345" t="s">
        <v>61</v>
      </c>
      <c r="C13" s="345"/>
      <c r="D13" s="193" t="s">
        <v>25</v>
      </c>
      <c r="E13" s="180"/>
      <c r="F13" s="233">
        <v>14</v>
      </c>
      <c r="G13" s="888">
        <v>11</v>
      </c>
      <c r="H13" s="219">
        <v>4</v>
      </c>
      <c r="I13" s="219">
        <v>2</v>
      </c>
      <c r="J13" s="219">
        <v>0</v>
      </c>
      <c r="K13" s="219">
        <v>0</v>
      </c>
      <c r="L13" s="219">
        <v>0</v>
      </c>
      <c r="M13" s="219">
        <v>0</v>
      </c>
      <c r="N13" s="219">
        <v>0</v>
      </c>
    </row>
    <row r="14" spans="2:15" ht="26.85" customHeight="1" x14ac:dyDescent="0.25">
      <c r="B14" s="345" t="s">
        <v>62</v>
      </c>
      <c r="C14" s="345"/>
      <c r="D14" s="193" t="s">
        <v>31</v>
      </c>
      <c r="E14" s="180"/>
      <c r="F14" s="810">
        <v>0.7</v>
      </c>
      <c r="G14" s="384">
        <v>0.57889999999999997</v>
      </c>
      <c r="H14" s="382">
        <v>0.33329999999999999</v>
      </c>
      <c r="I14" s="382">
        <v>0.22220000000000001</v>
      </c>
      <c r="J14" s="382">
        <v>0</v>
      </c>
      <c r="K14" s="382">
        <v>0</v>
      </c>
      <c r="L14" s="382">
        <v>0</v>
      </c>
      <c r="M14" s="382">
        <v>0</v>
      </c>
      <c r="N14" s="382">
        <v>0</v>
      </c>
    </row>
    <row r="15" spans="2:15" ht="26.85" customHeight="1" x14ac:dyDescent="0.25">
      <c r="B15" s="345" t="s">
        <v>63</v>
      </c>
      <c r="C15" s="345"/>
      <c r="D15" s="193" t="s">
        <v>25</v>
      </c>
      <c r="E15" s="180"/>
      <c r="F15" s="233">
        <v>0</v>
      </c>
      <c r="G15" s="374">
        <v>0</v>
      </c>
      <c r="H15" s="219">
        <v>0</v>
      </c>
      <c r="I15" s="219">
        <v>0</v>
      </c>
      <c r="J15" s="219">
        <v>0</v>
      </c>
      <c r="K15" s="219">
        <v>0</v>
      </c>
      <c r="L15" s="219">
        <v>0</v>
      </c>
      <c r="M15" s="219">
        <v>0</v>
      </c>
      <c r="N15" s="219">
        <v>0</v>
      </c>
    </row>
    <row r="16" spans="2:15" ht="26.85" customHeight="1" x14ac:dyDescent="0.25">
      <c r="B16" s="345" t="s">
        <v>64</v>
      </c>
      <c r="C16" s="345"/>
      <c r="D16" s="193" t="s">
        <v>31</v>
      </c>
      <c r="E16" s="180"/>
      <c r="F16" s="811">
        <v>0</v>
      </c>
      <c r="G16" s="384">
        <v>0</v>
      </c>
      <c r="H16" s="382">
        <v>0</v>
      </c>
      <c r="I16" s="382">
        <v>0</v>
      </c>
      <c r="J16" s="382">
        <v>0</v>
      </c>
      <c r="K16" s="382">
        <v>0</v>
      </c>
      <c r="L16" s="382">
        <v>0</v>
      </c>
      <c r="M16" s="382">
        <v>0</v>
      </c>
      <c r="N16" s="382">
        <v>0</v>
      </c>
    </row>
    <row r="17" spans="2:14" ht="26.85" customHeight="1" x14ac:dyDescent="0.25">
      <c r="B17" s="345" t="s">
        <v>65</v>
      </c>
      <c r="C17" s="345"/>
      <c r="D17" s="193" t="s">
        <v>25</v>
      </c>
      <c r="E17" s="180"/>
      <c r="F17" s="233">
        <v>0</v>
      </c>
      <c r="G17" s="374">
        <v>0</v>
      </c>
      <c r="H17" s="219">
        <v>0</v>
      </c>
      <c r="I17" s="219">
        <v>0</v>
      </c>
      <c r="J17" s="219">
        <v>0</v>
      </c>
      <c r="K17" s="219">
        <v>0</v>
      </c>
      <c r="L17" s="219">
        <v>0</v>
      </c>
      <c r="M17" s="219">
        <v>0</v>
      </c>
      <c r="N17" s="219">
        <v>0</v>
      </c>
    </row>
    <row r="18" spans="2:14" ht="26.85" customHeight="1" x14ac:dyDescent="0.25">
      <c r="B18" s="684" t="s">
        <v>66</v>
      </c>
      <c r="C18" s="684"/>
      <c r="D18" s="264" t="s">
        <v>31</v>
      </c>
      <c r="E18" s="518"/>
      <c r="F18" s="811">
        <v>0</v>
      </c>
      <c r="G18" s="889">
        <v>0</v>
      </c>
      <c r="H18" s="890">
        <v>0</v>
      </c>
      <c r="I18" s="890">
        <v>0</v>
      </c>
      <c r="J18" s="890">
        <v>0</v>
      </c>
      <c r="K18" s="890">
        <v>0</v>
      </c>
      <c r="L18" s="890">
        <v>0</v>
      </c>
      <c r="M18" s="890">
        <v>0</v>
      </c>
      <c r="N18" s="890">
        <v>0</v>
      </c>
    </row>
    <row r="19" spans="2:14" ht="52.35" customHeight="1" x14ac:dyDescent="0.2">
      <c r="B19" s="915" t="s">
        <v>67</v>
      </c>
      <c r="C19" s="915"/>
      <c r="D19" s="915"/>
      <c r="E19" s="915"/>
      <c r="F19" s="915"/>
      <c r="G19" s="915"/>
      <c r="H19" s="915"/>
      <c r="I19" s="915"/>
      <c r="J19" s="915"/>
      <c r="K19" s="915"/>
      <c r="L19" s="915"/>
      <c r="M19" s="915"/>
      <c r="N19" s="915"/>
    </row>
    <row r="20" spans="2:14" ht="26.85" customHeight="1" x14ac:dyDescent="0.2">
      <c r="B20" s="672"/>
      <c r="C20" s="672"/>
      <c r="D20" s="672"/>
      <c r="E20" s="672"/>
      <c r="F20" s="672"/>
      <c r="G20" s="672"/>
      <c r="H20" s="672"/>
      <c r="I20" s="672"/>
      <c r="J20" s="672"/>
      <c r="K20" s="672"/>
      <c r="L20" s="672"/>
      <c r="M20" s="672"/>
      <c r="N20" s="685"/>
    </row>
    <row r="21" spans="2:14" ht="26.85" customHeight="1" x14ac:dyDescent="0.35">
      <c r="B21" s="644" t="s">
        <v>622</v>
      </c>
      <c r="C21" s="637"/>
      <c r="D21" s="7" t="s">
        <v>9</v>
      </c>
      <c r="E21" s="7"/>
      <c r="F21" s="8" t="s">
        <v>10</v>
      </c>
      <c r="G21" s="9" t="s">
        <v>11</v>
      </c>
      <c r="H21" s="9" t="s">
        <v>12</v>
      </c>
      <c r="I21" s="9" t="s">
        <v>13</v>
      </c>
      <c r="J21" s="9" t="s">
        <v>14</v>
      </c>
      <c r="K21" s="9" t="s">
        <v>15</v>
      </c>
      <c r="L21" s="9" t="s">
        <v>16</v>
      </c>
      <c r="M21" s="9" t="s">
        <v>17</v>
      </c>
      <c r="N21" s="9" t="s">
        <v>18</v>
      </c>
    </row>
    <row r="22" spans="2:14" ht="26.85" customHeight="1" x14ac:dyDescent="0.25">
      <c r="B22" s="193" t="s">
        <v>44</v>
      </c>
      <c r="C22" s="345"/>
      <c r="D22" s="193" t="s">
        <v>31</v>
      </c>
      <c r="E22" s="180"/>
      <c r="F22" s="812">
        <v>0.99890000000000001</v>
      </c>
      <c r="G22" s="891">
        <v>0.99950000000000006</v>
      </c>
      <c r="H22" s="892">
        <v>0.99939002199999993</v>
      </c>
      <c r="I22" s="893">
        <v>0.99950000000000006</v>
      </c>
      <c r="J22" s="372" t="s">
        <v>23</v>
      </c>
      <c r="K22" s="372" t="s">
        <v>23</v>
      </c>
      <c r="L22" s="372" t="s">
        <v>23</v>
      </c>
      <c r="M22" s="372" t="s">
        <v>23</v>
      </c>
      <c r="N22" s="372" t="s">
        <v>23</v>
      </c>
    </row>
    <row r="23" spans="2:14" ht="26.85" customHeight="1" x14ac:dyDescent="0.25">
      <c r="B23" s="193" t="s">
        <v>45</v>
      </c>
      <c r="C23" s="345"/>
      <c r="D23" s="193" t="s">
        <v>31</v>
      </c>
      <c r="E23" s="180"/>
      <c r="F23" s="812">
        <v>5.9999999999999995E-4</v>
      </c>
      <c r="G23" s="894">
        <v>2.9999999999999997E-4</v>
      </c>
      <c r="H23" s="895">
        <v>4.0000000000000003E-5</v>
      </c>
      <c r="I23" s="381">
        <v>0</v>
      </c>
      <c r="J23" s="372" t="s">
        <v>23</v>
      </c>
      <c r="K23" s="372" t="s">
        <v>23</v>
      </c>
      <c r="L23" s="372" t="s">
        <v>23</v>
      </c>
      <c r="M23" s="372" t="s">
        <v>23</v>
      </c>
      <c r="N23" s="372" t="s">
        <v>23</v>
      </c>
    </row>
    <row r="24" spans="2:14" ht="26.85" customHeight="1" x14ac:dyDescent="0.25">
      <c r="B24" s="193" t="s">
        <v>46</v>
      </c>
      <c r="C24" s="345"/>
      <c r="D24" s="193" t="s">
        <v>31</v>
      </c>
      <c r="E24" s="180"/>
      <c r="F24" s="812">
        <v>5.0000000000000001E-4</v>
      </c>
      <c r="G24" s="894">
        <v>2.0000000000000001E-4</v>
      </c>
      <c r="H24" s="892">
        <v>5.6997799999999996E-4</v>
      </c>
      <c r="I24" s="893">
        <v>5.0000000000000001E-4</v>
      </c>
      <c r="J24" s="372" t="s">
        <v>23</v>
      </c>
      <c r="K24" s="372" t="s">
        <v>23</v>
      </c>
      <c r="L24" s="372" t="s">
        <v>23</v>
      </c>
      <c r="M24" s="372" t="s">
        <v>23</v>
      </c>
      <c r="N24" s="372" t="s">
        <v>23</v>
      </c>
    </row>
    <row r="25" spans="2:14" ht="26.85" customHeight="1" x14ac:dyDescent="0.25">
      <c r="B25" s="193" t="s">
        <v>47</v>
      </c>
      <c r="C25" s="345"/>
      <c r="D25" s="193" t="s">
        <v>25</v>
      </c>
      <c r="E25" s="180"/>
      <c r="F25" s="233">
        <v>94</v>
      </c>
      <c r="G25" s="217">
        <v>93</v>
      </c>
      <c r="H25" s="815">
        <v>87</v>
      </c>
      <c r="I25" s="381">
        <v>0.75</v>
      </c>
      <c r="J25" s="372" t="s">
        <v>23</v>
      </c>
      <c r="K25" s="372" t="s">
        <v>23</v>
      </c>
      <c r="L25" s="372" t="s">
        <v>23</v>
      </c>
      <c r="M25" s="372" t="s">
        <v>23</v>
      </c>
      <c r="N25" s="372" t="s">
        <v>23</v>
      </c>
    </row>
    <row r="26" spans="2:14" ht="26.85" customHeight="1" x14ac:dyDescent="0.2">
      <c r="B26" s="193" t="s">
        <v>48</v>
      </c>
      <c r="C26" s="345"/>
      <c r="D26" s="193" t="s">
        <v>20</v>
      </c>
      <c r="E26" s="180"/>
      <c r="F26" s="806">
        <v>205596299</v>
      </c>
      <c r="G26" s="204">
        <v>189961065</v>
      </c>
      <c r="H26" s="204">
        <v>152699651.47999999</v>
      </c>
      <c r="I26" s="204">
        <v>124727115</v>
      </c>
      <c r="J26" s="372" t="s">
        <v>23</v>
      </c>
      <c r="K26" s="372" t="s">
        <v>23</v>
      </c>
      <c r="L26" s="372" t="s">
        <v>23</v>
      </c>
      <c r="M26" s="372" t="s">
        <v>23</v>
      </c>
      <c r="N26" s="372" t="s">
        <v>23</v>
      </c>
    </row>
    <row r="27" spans="2:14" ht="33" customHeight="1" x14ac:dyDescent="0.2">
      <c r="B27" s="913" t="s">
        <v>621</v>
      </c>
      <c r="C27" s="913"/>
      <c r="D27" s="913"/>
      <c r="E27" s="913"/>
      <c r="F27" s="913"/>
      <c r="G27" s="913"/>
    </row>
    <row r="28" spans="2:14" x14ac:dyDescent="0.2">
      <c r="E28" s="603"/>
      <c r="F28" s="603"/>
    </row>
    <row r="35" spans="2:3" x14ac:dyDescent="0.2">
      <c r="B35" s="47"/>
      <c r="C35" s="47"/>
    </row>
  </sheetData>
  <sheetProtection algorithmName="SHA-512" hashValue="fb/bXAq9jvmlvXXqVzOAn2KCiBCnZqqA/r73cmVMvXlp3VYAc0ufO8rzhWK7sjW3Py+6121kkfpumvJJiFyu5A==" saltValue="iPE4M5lzGIT7E4/++1Vjwg==" spinCount="100000" sheet="1" objects="1" scenarios="1"/>
  <mergeCells count="3">
    <mergeCell ref="C2:G2"/>
    <mergeCell ref="B19:N19"/>
    <mergeCell ref="B27:G27"/>
  </mergeCells>
  <pageMargins left="0.7" right="0.7" top="0.75" bottom="0.75" header="0.3" footer="0.3"/>
  <pageSetup paperSize="9" scale="3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D5BC-A724-483F-9DBF-10A56F7D8F80}">
  <sheetPr codeName="Sheet2">
    <tabColor theme="4" tint="0.79998168889431442"/>
    <pageSetUpPr fitToPage="1"/>
  </sheetPr>
  <dimension ref="A1:N29"/>
  <sheetViews>
    <sheetView zoomScale="71" zoomScaleNormal="70" workbookViewId="0">
      <selection activeCell="A2" sqref="A2"/>
    </sheetView>
  </sheetViews>
  <sheetFormatPr defaultColWidth="9.42578125" defaultRowHeight="15" x14ac:dyDescent="0.2"/>
  <cols>
    <col min="1" max="1" width="4.42578125" style="28" customWidth="1"/>
    <col min="2" max="2" width="102" style="28" customWidth="1"/>
    <col min="3" max="3" width="20.5703125" style="28" customWidth="1"/>
    <col min="4" max="4" width="8.5703125" style="10" customWidth="1"/>
    <col min="5" max="5" width="15.42578125" style="10" customWidth="1"/>
    <col min="6" max="6" width="25.5703125" style="23" customWidth="1"/>
    <col min="7" max="7" width="21.5703125" style="44" customWidth="1"/>
    <col min="8" max="14" width="21.5703125" style="16" customWidth="1"/>
    <col min="15" max="16384" width="9.42578125" style="28"/>
  </cols>
  <sheetData>
    <row r="1" spans="1:14" ht="24.6" customHeight="1" x14ac:dyDescent="0.2"/>
    <row r="2" spans="1:14" ht="81" customHeight="1" x14ac:dyDescent="0.2">
      <c r="A2" s="278" t="s">
        <v>68</v>
      </c>
      <c r="B2" s="916" t="s">
        <v>69</v>
      </c>
      <c r="C2" s="916"/>
      <c r="D2" s="916"/>
      <c r="E2" s="343"/>
      <c r="F2" s="464"/>
      <c r="G2" s="343"/>
      <c r="H2" s="277"/>
      <c r="I2" s="277"/>
      <c r="J2" s="277"/>
      <c r="K2" s="277"/>
      <c r="L2" s="277"/>
      <c r="M2" s="277"/>
      <c r="N2" s="277"/>
    </row>
    <row r="3" spans="1:14" ht="25.5" customHeight="1" x14ac:dyDescent="0.2">
      <c r="B3" s="77"/>
      <c r="C3" s="77"/>
    </row>
    <row r="4" spans="1:14" ht="26.85" customHeight="1" x14ac:dyDescent="0.2">
      <c r="B4" s="6" t="s">
        <v>70</v>
      </c>
      <c r="C4" s="6"/>
      <c r="D4" s="7" t="s">
        <v>9</v>
      </c>
      <c r="E4" s="7"/>
      <c r="F4" s="8" t="s">
        <v>10</v>
      </c>
      <c r="G4" s="9" t="s">
        <v>11</v>
      </c>
      <c r="H4" s="9" t="s">
        <v>12</v>
      </c>
      <c r="I4" s="9" t="s">
        <v>13</v>
      </c>
      <c r="J4" s="9" t="s">
        <v>14</v>
      </c>
      <c r="K4" s="9" t="s">
        <v>15</v>
      </c>
      <c r="L4" s="9" t="s">
        <v>16</v>
      </c>
      <c r="M4" s="9" t="s">
        <v>17</v>
      </c>
      <c r="N4" s="9" t="s">
        <v>18</v>
      </c>
    </row>
    <row r="5" spans="1:14" ht="26.85" customHeight="1" x14ac:dyDescent="0.25">
      <c r="B5" s="231" t="s">
        <v>71</v>
      </c>
      <c r="C5" s="195"/>
      <c r="D5" s="180" t="s">
        <v>25</v>
      </c>
      <c r="E5" s="180"/>
      <c r="F5" s="233">
        <v>5</v>
      </c>
      <c r="G5" s="217">
        <v>6</v>
      </c>
      <c r="H5" s="191" t="s">
        <v>23</v>
      </c>
      <c r="I5" s="191" t="s">
        <v>23</v>
      </c>
      <c r="J5" s="191" t="s">
        <v>23</v>
      </c>
      <c r="K5" s="191" t="s">
        <v>23</v>
      </c>
      <c r="L5" s="191" t="s">
        <v>23</v>
      </c>
      <c r="M5" s="191" t="s">
        <v>23</v>
      </c>
      <c r="N5" s="191" t="s">
        <v>23</v>
      </c>
    </row>
    <row r="6" spans="1:14" ht="26.85" customHeight="1" x14ac:dyDescent="0.25">
      <c r="B6" s="231" t="s">
        <v>72</v>
      </c>
      <c r="C6" s="231"/>
      <c r="D6" s="180" t="s">
        <v>25</v>
      </c>
      <c r="E6" s="180"/>
      <c r="F6" s="233">
        <v>0</v>
      </c>
      <c r="G6" s="217">
        <v>0</v>
      </c>
      <c r="H6" s="191">
        <v>1</v>
      </c>
      <c r="I6" s="191" t="s">
        <v>23</v>
      </c>
      <c r="J6" s="191" t="s">
        <v>23</v>
      </c>
      <c r="K6" s="191" t="s">
        <v>23</v>
      </c>
      <c r="L6" s="191" t="s">
        <v>23</v>
      </c>
      <c r="M6" s="191" t="s">
        <v>23</v>
      </c>
      <c r="N6" s="191" t="s">
        <v>23</v>
      </c>
    </row>
    <row r="7" spans="1:14" ht="26.85" customHeight="1" x14ac:dyDescent="0.25">
      <c r="B7" s="345" t="s">
        <v>73</v>
      </c>
      <c r="C7" s="345"/>
      <c r="D7" s="180" t="s">
        <v>20</v>
      </c>
      <c r="E7" s="180"/>
      <c r="F7" s="233">
        <v>0</v>
      </c>
      <c r="G7" s="217">
        <v>0</v>
      </c>
      <c r="H7" s="192">
        <v>600000</v>
      </c>
      <c r="I7" s="191" t="s">
        <v>23</v>
      </c>
      <c r="J7" s="191" t="s">
        <v>23</v>
      </c>
      <c r="K7" s="191" t="s">
        <v>23</v>
      </c>
      <c r="L7" s="191" t="s">
        <v>23</v>
      </c>
      <c r="M7" s="191" t="s">
        <v>23</v>
      </c>
      <c r="N7" s="191" t="s">
        <v>23</v>
      </c>
    </row>
    <row r="8" spans="1:14" ht="26.85" customHeight="1" x14ac:dyDescent="0.25">
      <c r="B8" s="231" t="s">
        <v>74</v>
      </c>
      <c r="C8" s="231"/>
      <c r="D8" s="180" t="s">
        <v>25</v>
      </c>
      <c r="E8" s="180"/>
      <c r="F8" s="233">
        <v>3</v>
      </c>
      <c r="G8" s="217">
        <v>0</v>
      </c>
      <c r="H8" s="191">
        <v>0</v>
      </c>
      <c r="I8" s="191" t="s">
        <v>23</v>
      </c>
      <c r="J8" s="191" t="s">
        <v>23</v>
      </c>
      <c r="K8" s="191" t="s">
        <v>23</v>
      </c>
      <c r="L8" s="191" t="s">
        <v>23</v>
      </c>
      <c r="M8" s="191" t="s">
        <v>23</v>
      </c>
      <c r="N8" s="191" t="s">
        <v>23</v>
      </c>
    </row>
    <row r="9" spans="1:14" ht="26.85" customHeight="1" x14ac:dyDescent="0.25">
      <c r="B9" s="231" t="s">
        <v>75</v>
      </c>
      <c r="C9" s="231"/>
      <c r="D9" s="180" t="s">
        <v>25</v>
      </c>
      <c r="E9" s="180"/>
      <c r="F9" s="233">
        <v>0</v>
      </c>
      <c r="G9" s="217">
        <v>0</v>
      </c>
      <c r="H9" s="191">
        <v>0</v>
      </c>
      <c r="I9" s="191" t="s">
        <v>23</v>
      </c>
      <c r="J9" s="191" t="s">
        <v>23</v>
      </c>
      <c r="K9" s="191" t="s">
        <v>23</v>
      </c>
      <c r="L9" s="191" t="s">
        <v>23</v>
      </c>
      <c r="M9" s="191" t="s">
        <v>23</v>
      </c>
      <c r="N9" s="191" t="s">
        <v>23</v>
      </c>
    </row>
    <row r="10" spans="1:14" ht="26.85" customHeight="1" x14ac:dyDescent="0.25">
      <c r="B10" s="231" t="s">
        <v>76</v>
      </c>
      <c r="C10" s="231"/>
      <c r="D10" s="180" t="s">
        <v>25</v>
      </c>
      <c r="E10" s="180"/>
      <c r="F10" s="233">
        <v>1</v>
      </c>
      <c r="G10" s="217">
        <v>5</v>
      </c>
      <c r="H10" s="191">
        <v>2</v>
      </c>
      <c r="I10" s="191" t="s">
        <v>23</v>
      </c>
      <c r="J10" s="191" t="s">
        <v>23</v>
      </c>
      <c r="K10" s="191" t="s">
        <v>23</v>
      </c>
      <c r="L10" s="191" t="s">
        <v>23</v>
      </c>
      <c r="M10" s="191" t="s">
        <v>23</v>
      </c>
      <c r="N10" s="191" t="s">
        <v>23</v>
      </c>
    </row>
    <row r="11" spans="1:14" ht="26.85" customHeight="1" x14ac:dyDescent="0.25">
      <c r="B11" s="604" t="s">
        <v>77</v>
      </c>
      <c r="C11" s="231"/>
      <c r="D11" s="180" t="s">
        <v>25</v>
      </c>
      <c r="E11" s="180"/>
      <c r="F11" s="233">
        <v>0</v>
      </c>
      <c r="G11" s="217">
        <v>1</v>
      </c>
      <c r="H11" s="191">
        <v>0</v>
      </c>
      <c r="I11" s="191" t="s">
        <v>23</v>
      </c>
      <c r="J11" s="191" t="s">
        <v>23</v>
      </c>
      <c r="K11" s="191" t="s">
        <v>23</v>
      </c>
      <c r="L11" s="191" t="s">
        <v>23</v>
      </c>
      <c r="M11" s="191" t="s">
        <v>23</v>
      </c>
      <c r="N11" s="191" t="s">
        <v>23</v>
      </c>
    </row>
    <row r="12" spans="1:14" ht="26.85" customHeight="1" x14ac:dyDescent="0.25">
      <c r="B12" s="231" t="s">
        <v>78</v>
      </c>
      <c r="C12" s="195"/>
      <c r="D12" s="180"/>
      <c r="E12" s="180"/>
      <c r="F12" s="647"/>
      <c r="G12" s="217"/>
      <c r="H12" s="191"/>
      <c r="I12" s="191"/>
      <c r="J12" s="191"/>
      <c r="K12" s="191"/>
      <c r="L12" s="191"/>
      <c r="M12" s="191"/>
      <c r="N12" s="191"/>
    </row>
    <row r="13" spans="1:14" ht="26.85" customHeight="1" x14ac:dyDescent="0.25">
      <c r="B13" s="345" t="s">
        <v>79</v>
      </c>
      <c r="C13" s="344"/>
      <c r="D13" s="180" t="s">
        <v>31</v>
      </c>
      <c r="E13" s="180"/>
      <c r="F13" s="810">
        <v>0.63</v>
      </c>
      <c r="G13" s="384">
        <v>0.75</v>
      </c>
      <c r="H13" s="191" t="s">
        <v>23</v>
      </c>
      <c r="I13" s="191" t="s">
        <v>23</v>
      </c>
      <c r="J13" s="191" t="s">
        <v>23</v>
      </c>
      <c r="K13" s="191" t="s">
        <v>23</v>
      </c>
      <c r="L13" s="191" t="s">
        <v>23</v>
      </c>
      <c r="M13" s="191" t="s">
        <v>23</v>
      </c>
      <c r="N13" s="191" t="s">
        <v>23</v>
      </c>
    </row>
    <row r="14" spans="1:14" ht="26.85" customHeight="1" x14ac:dyDescent="0.25">
      <c r="B14" s="345" t="s">
        <v>80</v>
      </c>
      <c r="C14" s="344"/>
      <c r="D14" s="180" t="s">
        <v>31</v>
      </c>
      <c r="E14" s="180"/>
      <c r="F14" s="810">
        <v>0.7</v>
      </c>
      <c r="G14" s="384">
        <v>0.62</v>
      </c>
      <c r="H14" s="191" t="s">
        <v>23</v>
      </c>
      <c r="I14" s="191" t="s">
        <v>23</v>
      </c>
      <c r="J14" s="191" t="s">
        <v>23</v>
      </c>
      <c r="K14" s="191" t="s">
        <v>23</v>
      </c>
      <c r="L14" s="191" t="s">
        <v>23</v>
      </c>
      <c r="M14" s="191" t="s">
        <v>23</v>
      </c>
      <c r="N14" s="191" t="s">
        <v>23</v>
      </c>
    </row>
    <row r="15" spans="1:14" ht="26.85" customHeight="1" x14ac:dyDescent="0.25">
      <c r="B15" s="231" t="s">
        <v>81</v>
      </c>
      <c r="C15" s="231"/>
      <c r="D15" s="180" t="s">
        <v>25</v>
      </c>
      <c r="E15" s="180"/>
      <c r="F15" s="233">
        <v>0</v>
      </c>
      <c r="G15" s="217">
        <v>0</v>
      </c>
      <c r="H15" s="191">
        <v>0</v>
      </c>
      <c r="I15" s="191" t="s">
        <v>23</v>
      </c>
      <c r="J15" s="191" t="s">
        <v>23</v>
      </c>
      <c r="K15" s="191" t="s">
        <v>23</v>
      </c>
      <c r="L15" s="191" t="s">
        <v>23</v>
      </c>
      <c r="M15" s="191" t="s">
        <v>23</v>
      </c>
      <c r="N15" s="191" t="s">
        <v>23</v>
      </c>
    </row>
    <row r="16" spans="1:14" ht="26.85" customHeight="1" x14ac:dyDescent="0.25">
      <c r="B16" s="345" t="s">
        <v>82</v>
      </c>
      <c r="C16" s="188"/>
      <c r="D16" s="180" t="s">
        <v>25</v>
      </c>
      <c r="E16" s="180"/>
      <c r="F16" s="233">
        <v>0</v>
      </c>
      <c r="G16" s="217">
        <v>0</v>
      </c>
      <c r="H16" s="191" t="s">
        <v>23</v>
      </c>
      <c r="I16" s="191" t="s">
        <v>23</v>
      </c>
      <c r="J16" s="191" t="s">
        <v>23</v>
      </c>
      <c r="K16" s="191" t="s">
        <v>23</v>
      </c>
      <c r="L16" s="191" t="s">
        <v>23</v>
      </c>
      <c r="M16" s="191" t="s">
        <v>23</v>
      </c>
      <c r="N16" s="191" t="s">
        <v>23</v>
      </c>
    </row>
    <row r="17" spans="2:14" ht="26.85" customHeight="1" x14ac:dyDescent="0.25">
      <c r="B17" s="345" t="s">
        <v>83</v>
      </c>
      <c r="C17" s="347"/>
      <c r="D17" s="180" t="s">
        <v>25</v>
      </c>
      <c r="E17" s="180"/>
      <c r="F17" s="809" t="s">
        <v>84</v>
      </c>
      <c r="G17" s="217" t="s">
        <v>85</v>
      </c>
      <c r="H17" s="191" t="s">
        <v>23</v>
      </c>
      <c r="I17" s="191" t="s">
        <v>23</v>
      </c>
      <c r="J17" s="191" t="s">
        <v>23</v>
      </c>
      <c r="K17" s="191" t="s">
        <v>23</v>
      </c>
      <c r="L17" s="191" t="s">
        <v>23</v>
      </c>
      <c r="M17" s="191" t="s">
        <v>23</v>
      </c>
      <c r="N17" s="191" t="s">
        <v>23</v>
      </c>
    </row>
    <row r="18" spans="2:14" ht="26.85" customHeight="1" x14ac:dyDescent="0.25">
      <c r="B18" s="345" t="s">
        <v>86</v>
      </c>
      <c r="C18" s="347"/>
      <c r="D18" s="180" t="s">
        <v>25</v>
      </c>
      <c r="E18" s="180"/>
      <c r="F18" s="809">
        <v>207000000</v>
      </c>
      <c r="G18" s="374">
        <v>8300</v>
      </c>
      <c r="H18" s="191" t="s">
        <v>23</v>
      </c>
      <c r="I18" s="191" t="s">
        <v>23</v>
      </c>
      <c r="J18" s="191" t="s">
        <v>23</v>
      </c>
      <c r="K18" s="191" t="s">
        <v>23</v>
      </c>
      <c r="L18" s="191" t="s">
        <v>23</v>
      </c>
      <c r="M18" s="191" t="s">
        <v>23</v>
      </c>
      <c r="N18" s="191" t="s">
        <v>23</v>
      </c>
    </row>
    <row r="19" spans="2:14" ht="45" customHeight="1" x14ac:dyDescent="0.2">
      <c r="B19" s="913" t="s">
        <v>87</v>
      </c>
      <c r="C19" s="913"/>
      <c r="D19" s="913"/>
      <c r="E19" s="913"/>
      <c r="F19" s="913"/>
      <c r="G19" s="913"/>
      <c r="H19" s="12"/>
      <c r="I19" s="44"/>
      <c r="J19" s="12"/>
      <c r="K19" s="12"/>
      <c r="L19" s="12"/>
      <c r="M19" s="12"/>
      <c r="N19" s="12"/>
    </row>
    <row r="20" spans="2:14" ht="50.25" customHeight="1" x14ac:dyDescent="0.25">
      <c r="B20" s="785"/>
      <c r="H20" s="12"/>
      <c r="I20"/>
      <c r="J20" s="12"/>
      <c r="K20" s="12"/>
      <c r="L20" s="12"/>
      <c r="M20" s="12"/>
      <c r="N20" s="12"/>
    </row>
    <row r="21" spans="2:14" ht="26.85" customHeight="1" x14ac:dyDescent="0.2">
      <c r="B21" s="6" t="s">
        <v>88</v>
      </c>
      <c r="C21" s="6"/>
      <c r="D21" s="177" t="s">
        <v>9</v>
      </c>
      <c r="E21" s="177"/>
      <c r="F21" s="178" t="s">
        <v>10</v>
      </c>
      <c r="G21" s="896" t="s">
        <v>11</v>
      </c>
      <c r="H21" s="896" t="s">
        <v>12</v>
      </c>
      <c r="I21" s="896" t="s">
        <v>13</v>
      </c>
      <c r="J21" s="9" t="s">
        <v>14</v>
      </c>
      <c r="K21" s="896" t="s">
        <v>15</v>
      </c>
      <c r="L21" s="896" t="s">
        <v>16</v>
      </c>
      <c r="M21" s="896" t="s">
        <v>17</v>
      </c>
      <c r="N21" s="896" t="s">
        <v>18</v>
      </c>
    </row>
    <row r="22" spans="2:14" ht="26.85" customHeight="1" x14ac:dyDescent="0.25">
      <c r="B22" s="231" t="s">
        <v>89</v>
      </c>
      <c r="C22" s="195"/>
      <c r="D22" s="313"/>
      <c r="E22" s="313"/>
      <c r="F22" s="687"/>
      <c r="G22" s="897"/>
      <c r="H22" s="370"/>
      <c r="I22" s="370"/>
      <c r="J22" s="371"/>
      <c r="K22" s="370"/>
      <c r="L22" s="370"/>
      <c r="M22" s="370"/>
      <c r="N22" s="370"/>
    </row>
    <row r="23" spans="2:14" ht="26.85" customHeight="1" x14ac:dyDescent="0.25">
      <c r="B23" s="357" t="s">
        <v>90</v>
      </c>
      <c r="C23" s="348"/>
      <c r="D23" s="251" t="s">
        <v>25</v>
      </c>
      <c r="E23" s="251"/>
      <c r="F23" s="813">
        <v>1</v>
      </c>
      <c r="G23" s="433">
        <v>0</v>
      </c>
      <c r="H23" s="197" t="s">
        <v>23</v>
      </c>
      <c r="I23" s="197" t="s">
        <v>23</v>
      </c>
      <c r="J23" s="197" t="s">
        <v>23</v>
      </c>
      <c r="K23" s="197">
        <v>1</v>
      </c>
      <c r="L23" s="197" t="s">
        <v>23</v>
      </c>
      <c r="M23" s="197" t="s">
        <v>23</v>
      </c>
      <c r="N23" s="197" t="s">
        <v>23</v>
      </c>
    </row>
    <row r="24" spans="2:14" ht="26.85" customHeight="1" x14ac:dyDescent="0.25">
      <c r="B24" s="357" t="s">
        <v>91</v>
      </c>
      <c r="C24" s="348"/>
      <c r="D24" s="251" t="s">
        <v>20</v>
      </c>
      <c r="E24" s="251"/>
      <c r="F24" s="813">
        <v>0</v>
      </c>
      <c r="G24" s="433">
        <v>0</v>
      </c>
      <c r="H24" s="197" t="s">
        <v>23</v>
      </c>
      <c r="I24" s="197" t="s">
        <v>23</v>
      </c>
      <c r="J24" s="197" t="s">
        <v>23</v>
      </c>
      <c r="K24" s="898">
        <v>26324267.830000002</v>
      </c>
      <c r="L24" s="197" t="s">
        <v>23</v>
      </c>
      <c r="M24" s="197" t="s">
        <v>23</v>
      </c>
      <c r="N24" s="197" t="s">
        <v>23</v>
      </c>
    </row>
    <row r="25" spans="2:14" ht="15.75" x14ac:dyDescent="0.25">
      <c r="B25" s="15"/>
      <c r="C25" s="1"/>
      <c r="H25" s="23"/>
      <c r="I25" s="23"/>
      <c r="J25" s="23"/>
      <c r="K25" s="23"/>
      <c r="L25" s="23"/>
      <c r="M25" s="23"/>
      <c r="N25" s="23"/>
    </row>
    <row r="26" spans="2:14" x14ac:dyDescent="0.2">
      <c r="C26" s="15"/>
    </row>
    <row r="29" spans="2:14" ht="30" x14ac:dyDescent="0.2">
      <c r="B29" s="77"/>
      <c r="C29" s="77"/>
    </row>
  </sheetData>
  <sheetProtection algorithmName="SHA-512" hashValue="5W4hK9rBZ/qO6zbs3Adl+8IrMuSq/Lqaqe6sGCPR1rG/Lr2NudIWaqcnpMULtLiWYltV6Z5HwT1WtTqbUDdFdQ==" saltValue="2WnLwtNNbLdvdtopCznN7w==" spinCount="100000" sheet="1" objects="1" scenarios="1"/>
  <protectedRanges>
    <protectedRange algorithmName="SHA-512" hashValue="SBmVKL1PmbJO4BEGzBE2xSftKq5NiG1q1emuti/GVfceCNi5g6XOmQ1IMu3DBdkx1ZhRvUtbpcPo4ef6OYQSig==" saltValue="08oHF2zO3UoJG6Nlb1OgOA==" spinCount="100000" sqref="K21:K22" name="FY20_1_2"/>
    <protectedRange algorithmName="SHA-512" hashValue="SBmVKL1PmbJO4BEGzBE2xSftKq5NiG1q1emuti/GVfceCNi5g6XOmQ1IMu3DBdkx1ZhRvUtbpcPo4ef6OYQSig==" saltValue="08oHF2zO3UoJG6Nlb1OgOA==" spinCount="100000" sqref="I21:J22" name="FY20_3_2"/>
    <protectedRange algorithmName="SHA-512" hashValue="SBmVKL1PmbJO4BEGzBE2xSftKq5NiG1q1emuti/GVfceCNi5g6XOmQ1IMu3DBdkx1ZhRvUtbpcPo4ef6OYQSig==" saltValue="08oHF2zO3UoJG6Nlb1OgOA==" spinCount="100000" sqref="H23:N24" name="FY20_3_2_1"/>
  </protectedRanges>
  <mergeCells count="2">
    <mergeCell ref="B19:G19"/>
    <mergeCell ref="B2:D2"/>
  </mergeCells>
  <pageMargins left="0.7" right="0.7" top="0.75" bottom="0.75" header="0.3" footer="0.3"/>
  <pageSetup paperSize="9" scale="2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ED1AC-6C86-4DBA-A5E6-9FBF00C16BB0}">
  <sheetPr codeName="Sheet3">
    <tabColor theme="4" tint="0.79998168889431442"/>
    <pageSetUpPr fitToPage="1"/>
  </sheetPr>
  <dimension ref="A1:HG217"/>
  <sheetViews>
    <sheetView showGridLines="0" topLeftCell="A189" zoomScale="70" zoomScaleNormal="70" workbookViewId="0">
      <selection activeCell="I205" sqref="I205"/>
    </sheetView>
  </sheetViews>
  <sheetFormatPr defaultColWidth="8.5703125" defaultRowHeight="15" x14ac:dyDescent="0.2"/>
  <cols>
    <col min="1" max="1" width="4.42578125" style="28" customWidth="1"/>
    <col min="2" max="2" width="66.5703125" style="28" customWidth="1"/>
    <col min="3" max="3" width="11.42578125" style="28" customWidth="1"/>
    <col min="4" max="4" width="10.5703125" style="15" customWidth="1"/>
    <col min="5" max="5" width="8.42578125" style="15" customWidth="1"/>
    <col min="6" max="6" width="15.5703125" style="44" customWidth="1"/>
    <col min="7" max="7" width="14.5703125" style="44" customWidth="1"/>
    <col min="8" max="8" width="13.42578125" style="44" customWidth="1"/>
    <col min="9" max="9" width="15" style="44" customWidth="1"/>
    <col min="10" max="10" width="15.5703125" style="44" customWidth="1"/>
    <col min="11" max="11" width="14.5703125" style="44" customWidth="1"/>
    <col min="12" max="12" width="13.42578125" style="44" customWidth="1"/>
    <col min="13" max="13" width="15" style="44" customWidth="1"/>
    <col min="14" max="31" width="15.42578125" style="16" customWidth="1"/>
    <col min="32" max="16384" width="8.5703125" style="28"/>
  </cols>
  <sheetData>
    <row r="1" spans="2:31" ht="24.6" customHeight="1" x14ac:dyDescent="0.2"/>
    <row r="2" spans="2:31" ht="81" customHeight="1" x14ac:dyDescent="0.2">
      <c r="B2" s="343" t="s">
        <v>92</v>
      </c>
      <c r="C2" s="917" t="s">
        <v>93</v>
      </c>
      <c r="D2" s="917"/>
      <c r="E2" s="917"/>
      <c r="F2" s="917"/>
      <c r="G2" s="917"/>
      <c r="H2" s="917"/>
      <c r="I2" s="917"/>
      <c r="J2" s="917"/>
      <c r="K2" s="917"/>
      <c r="L2" s="464"/>
      <c r="M2" s="464"/>
      <c r="N2" s="277"/>
      <c r="O2" s="277"/>
      <c r="P2" s="277"/>
      <c r="Q2" s="277"/>
      <c r="R2" s="277"/>
      <c r="S2" s="277"/>
      <c r="T2" s="277"/>
      <c r="U2" s="277"/>
      <c r="V2" s="277"/>
      <c r="W2" s="277"/>
      <c r="X2" s="277"/>
      <c r="Y2" s="277"/>
      <c r="Z2" s="277"/>
      <c r="AA2" s="277"/>
      <c r="AB2" s="277"/>
      <c r="AC2" s="277"/>
      <c r="AD2" s="277"/>
      <c r="AE2" s="277"/>
    </row>
    <row r="3" spans="2:31" ht="25.5" customHeight="1" x14ac:dyDescent="0.2">
      <c r="B3" s="51"/>
      <c r="C3" s="51"/>
      <c r="N3" s="12"/>
      <c r="O3" s="12"/>
      <c r="Q3" s="12"/>
      <c r="R3" s="12"/>
    </row>
    <row r="4" spans="2:31" ht="26.85" customHeight="1" x14ac:dyDescent="0.2">
      <c r="B4" s="6" t="s">
        <v>94</v>
      </c>
      <c r="C4" s="6"/>
      <c r="D4" s="7" t="s">
        <v>9</v>
      </c>
      <c r="E4" s="7"/>
      <c r="F4" s="930" t="s">
        <v>10</v>
      </c>
      <c r="G4" s="930"/>
      <c r="H4" s="930"/>
      <c r="I4" s="930"/>
      <c r="J4" s="930" t="s">
        <v>11</v>
      </c>
      <c r="K4" s="930"/>
      <c r="L4" s="930"/>
      <c r="M4" s="930"/>
      <c r="N4" s="920" t="s">
        <v>12</v>
      </c>
      <c r="O4" s="920"/>
      <c r="P4" s="920"/>
      <c r="Q4" s="920" t="s">
        <v>13</v>
      </c>
      <c r="R4" s="920"/>
      <c r="S4" s="920"/>
      <c r="T4" s="920" t="s">
        <v>14</v>
      </c>
      <c r="U4" s="920"/>
      <c r="V4" s="920"/>
      <c r="W4" s="920" t="s">
        <v>15</v>
      </c>
      <c r="X4" s="920"/>
      <c r="Y4" s="920"/>
      <c r="Z4" s="920" t="s">
        <v>16</v>
      </c>
      <c r="AA4" s="920"/>
      <c r="AB4" s="920"/>
      <c r="AC4" s="920" t="s">
        <v>17</v>
      </c>
      <c r="AD4" s="920"/>
      <c r="AE4" s="920"/>
    </row>
    <row r="5" spans="2:31" ht="26.85" customHeight="1" x14ac:dyDescent="0.25">
      <c r="B5" s="193" t="s">
        <v>95</v>
      </c>
      <c r="C5" s="544"/>
      <c r="D5" s="193" t="s">
        <v>25</v>
      </c>
      <c r="E5" s="193"/>
      <c r="F5" s="946">
        <f>SUM('Ausgrid Workforce'!F5:I5,'PLUS ES Workforce'!F5:I5)</f>
        <v>3182</v>
      </c>
      <c r="G5" s="946"/>
      <c r="H5" s="946"/>
      <c r="I5" s="946"/>
      <c r="J5" s="936">
        <f>SUM('Ausgrid Workforce'!J5:M5,'PLUS ES Workforce'!J5:M5)</f>
        <v>3111</v>
      </c>
      <c r="K5" s="936"/>
      <c r="L5" s="936"/>
      <c r="M5" s="936"/>
      <c r="N5" s="935">
        <f>SUM('Ausgrid Workforce'!N5:P5,'PLUS ES Workforce'!N5:P5)</f>
        <v>2989</v>
      </c>
      <c r="O5" s="935"/>
      <c r="P5" s="935"/>
      <c r="Q5" s="935">
        <f>SUM('Ausgrid Workforce'!Q5:S5,'PLUS ES Workforce'!Q5:S5)</f>
        <v>3122</v>
      </c>
      <c r="R5" s="935"/>
      <c r="S5" s="935"/>
      <c r="T5" s="935">
        <f>SUM('Ausgrid Workforce'!T5:V5,'PLUS ES Workforce'!T5:V5)</f>
        <v>3050</v>
      </c>
      <c r="U5" s="935"/>
      <c r="V5" s="935"/>
      <c r="W5" s="935">
        <f>SUM('Ausgrid Workforce'!W5:Y5,'PLUS ES Workforce'!W5:Y5)</f>
        <v>3372</v>
      </c>
      <c r="X5" s="935"/>
      <c r="Y5" s="935"/>
      <c r="Z5" s="935">
        <f>SUM('Ausgrid Workforce'!Z5:AB5,'PLUS ES Workforce'!Z5:AB5)</f>
        <v>3861</v>
      </c>
      <c r="AA5" s="935"/>
      <c r="AB5" s="935"/>
      <c r="AC5" s="935">
        <f>SUM('Ausgrid Workforce'!AC5:AE5,'PLUS ES Workforce'!AC5:AE5)</f>
        <v>4014</v>
      </c>
      <c r="AD5" s="935"/>
      <c r="AE5" s="935"/>
    </row>
    <row r="6" spans="2:31" ht="26.85" customHeight="1" x14ac:dyDescent="0.25">
      <c r="B6" s="193" t="s">
        <v>96</v>
      </c>
      <c r="C6" s="544"/>
      <c r="D6" s="193" t="s">
        <v>25</v>
      </c>
      <c r="E6" s="193"/>
      <c r="F6" s="947">
        <f>SUM('Ausgrid Workforce'!F6:I6,'PLUS ES Workforce'!F6:I6)</f>
        <v>3158.68</v>
      </c>
      <c r="G6" s="947"/>
      <c r="H6" s="947"/>
      <c r="I6" s="947"/>
      <c r="J6" s="923">
        <f>SUM('Ausgrid Workforce'!J6:M6,'PLUS ES Workforce'!J6:M6)</f>
        <v>3088.7000000000003</v>
      </c>
      <c r="K6" s="923"/>
      <c r="L6" s="923"/>
      <c r="M6" s="923"/>
      <c r="N6" s="931">
        <f>SUM('Ausgrid Workforce'!N6:P6,'PLUS ES Workforce'!N6:P6)</f>
        <v>0</v>
      </c>
      <c r="O6" s="931"/>
      <c r="P6" s="931"/>
      <c r="Q6" s="931">
        <f>SUM('Ausgrid Workforce'!Q6:S6,'PLUS ES Workforce'!Q6:S6)</f>
        <v>0</v>
      </c>
      <c r="R6" s="931"/>
      <c r="S6" s="931"/>
      <c r="T6" s="931">
        <f>SUM('Ausgrid Workforce'!T6:V6,'PLUS ES Workforce'!T6:V6)</f>
        <v>0</v>
      </c>
      <c r="U6" s="931"/>
      <c r="V6" s="931"/>
      <c r="W6" s="931">
        <f>SUM('Ausgrid Workforce'!W6:Y6,'PLUS ES Workforce'!W6:Y6)</f>
        <v>0</v>
      </c>
      <c r="X6" s="931"/>
      <c r="Y6" s="931"/>
      <c r="Z6" s="931">
        <f>SUM('Ausgrid Workforce'!Z6:AB6,'PLUS ES Workforce'!Z6:AB6)</f>
        <v>0</v>
      </c>
      <c r="AA6" s="931"/>
      <c r="AB6" s="931"/>
      <c r="AC6" s="931">
        <f>SUM('Ausgrid Workforce'!AC6:AE6,'PLUS ES Workforce'!AC6:AE6)</f>
        <v>0</v>
      </c>
      <c r="AD6" s="931"/>
      <c r="AE6" s="931"/>
    </row>
    <row r="7" spans="2:31" ht="26.85" customHeight="1" x14ac:dyDescent="0.2">
      <c r="B7" s="913" t="s">
        <v>97</v>
      </c>
      <c r="C7" s="913"/>
      <c r="D7" s="913"/>
      <c r="E7" s="913"/>
      <c r="F7" s="913"/>
      <c r="G7" s="913"/>
      <c r="H7" s="913"/>
      <c r="I7" s="913"/>
      <c r="J7" s="913"/>
      <c r="K7" s="913"/>
      <c r="L7" s="913"/>
      <c r="M7" s="913"/>
      <c r="N7" s="913"/>
      <c r="O7" s="913"/>
      <c r="P7" s="913"/>
      <c r="Q7" s="913"/>
      <c r="R7" s="913"/>
      <c r="S7" s="913"/>
      <c r="T7" s="913"/>
      <c r="U7" s="913"/>
      <c r="V7" s="913"/>
      <c r="W7" s="913"/>
      <c r="X7" s="913"/>
      <c r="Y7" s="913"/>
      <c r="Z7" s="913"/>
      <c r="AA7" s="913"/>
      <c r="AB7" s="913"/>
      <c r="AC7" s="913"/>
      <c r="AD7" s="913"/>
      <c r="AE7" s="913"/>
    </row>
    <row r="8" spans="2:31" ht="50.1" customHeight="1" x14ac:dyDescent="0.2">
      <c r="B8" s="57"/>
      <c r="C8" s="57"/>
      <c r="H8" s="23"/>
      <c r="L8" s="23"/>
    </row>
    <row r="9" spans="2:31" ht="26.85" customHeight="1" x14ac:dyDescent="0.2">
      <c r="B9" s="6" t="s">
        <v>98</v>
      </c>
      <c r="C9" s="6"/>
      <c r="D9" s="7" t="s">
        <v>9</v>
      </c>
      <c r="E9" s="7"/>
      <c r="F9" s="930" t="s">
        <v>10</v>
      </c>
      <c r="G9" s="930"/>
      <c r="H9" s="930"/>
      <c r="I9" s="930"/>
      <c r="J9" s="930" t="s">
        <v>11</v>
      </c>
      <c r="K9" s="930"/>
      <c r="L9" s="930"/>
      <c r="M9" s="930"/>
      <c r="N9" s="920" t="s">
        <v>12</v>
      </c>
      <c r="O9" s="920"/>
      <c r="P9" s="920"/>
      <c r="Q9" s="920" t="s">
        <v>13</v>
      </c>
      <c r="R9" s="920"/>
      <c r="S9" s="920"/>
      <c r="T9" s="920" t="s">
        <v>14</v>
      </c>
      <c r="U9" s="920"/>
      <c r="V9" s="920"/>
      <c r="W9" s="920" t="s">
        <v>15</v>
      </c>
      <c r="X9" s="920"/>
      <c r="Y9" s="920"/>
      <c r="Z9" s="920" t="s">
        <v>16</v>
      </c>
      <c r="AA9" s="920"/>
      <c r="AB9" s="920"/>
      <c r="AC9" s="920" t="s">
        <v>17</v>
      </c>
      <c r="AD9" s="920"/>
      <c r="AE9" s="920"/>
    </row>
    <row r="10" spans="2:31" ht="26.85" customHeight="1" x14ac:dyDescent="0.25">
      <c r="B10" s="545"/>
      <c r="C10" s="545"/>
      <c r="D10" s="231"/>
      <c r="E10" s="231"/>
      <c r="F10" s="532" t="s">
        <v>99</v>
      </c>
      <c r="G10" s="532" t="s">
        <v>100</v>
      </c>
      <c r="H10" s="532" t="s">
        <v>101</v>
      </c>
      <c r="I10" s="532" t="s">
        <v>102</v>
      </c>
      <c r="J10" s="690" t="s">
        <v>99</v>
      </c>
      <c r="K10" s="690" t="s">
        <v>100</v>
      </c>
      <c r="L10" s="690" t="s">
        <v>101</v>
      </c>
      <c r="M10" s="690" t="s">
        <v>102</v>
      </c>
      <c r="N10" s="183" t="s">
        <v>99</v>
      </c>
      <c r="O10" s="183" t="s">
        <v>100</v>
      </c>
      <c r="P10" s="183" t="s">
        <v>102</v>
      </c>
      <c r="Q10" s="183" t="s">
        <v>99</v>
      </c>
      <c r="R10" s="183" t="s">
        <v>100</v>
      </c>
      <c r="S10" s="183" t="s">
        <v>102</v>
      </c>
      <c r="T10" s="183" t="s">
        <v>99</v>
      </c>
      <c r="U10" s="183" t="s">
        <v>100</v>
      </c>
      <c r="V10" s="183" t="s">
        <v>102</v>
      </c>
      <c r="W10" s="183" t="s">
        <v>99</v>
      </c>
      <c r="X10" s="183" t="s">
        <v>100</v>
      </c>
      <c r="Y10" s="183" t="s">
        <v>102</v>
      </c>
      <c r="Z10" s="183" t="s">
        <v>99</v>
      </c>
      <c r="AA10" s="183" t="s">
        <v>100</v>
      </c>
      <c r="AB10" s="183" t="s">
        <v>102</v>
      </c>
      <c r="AC10" s="183" t="s">
        <v>99</v>
      </c>
      <c r="AD10" s="183" t="s">
        <v>100</v>
      </c>
      <c r="AE10" s="183" t="s">
        <v>102</v>
      </c>
    </row>
    <row r="11" spans="2:31" ht="26.85" customHeight="1" x14ac:dyDescent="0.25">
      <c r="B11" s="193" t="s">
        <v>103</v>
      </c>
      <c r="C11" s="193"/>
      <c r="D11" s="193" t="s">
        <v>25</v>
      </c>
      <c r="E11" s="193"/>
      <c r="F11" s="756">
        <f>SUM('Ausgrid Workforce'!F11,'PLUS ES Workforce'!F11)</f>
        <v>644</v>
      </c>
      <c r="G11" s="756">
        <f>SUM('Ausgrid Workforce'!G11,'PLUS ES Workforce'!G11)</f>
        <v>2532</v>
      </c>
      <c r="H11" s="756">
        <f>SUM('Ausgrid Workforce'!H11,'PLUS ES Workforce'!H11)</f>
        <v>6</v>
      </c>
      <c r="I11" s="756">
        <f>SUM('Ausgrid Workforce'!I11,'PLUS ES Workforce'!I11)</f>
        <v>3182</v>
      </c>
      <c r="J11" s="688">
        <f>SUM('Ausgrid Workforce'!J11,'PLUS ES Workforce'!J11)</f>
        <v>599</v>
      </c>
      <c r="K11" s="688">
        <f>SUM('Ausgrid Workforce'!K11,'PLUS ES Workforce'!K11)</f>
        <v>2506</v>
      </c>
      <c r="L11" s="688">
        <f>SUM('Ausgrid Workforce'!L11,'PLUS ES Workforce'!L11)</f>
        <v>6</v>
      </c>
      <c r="M11" s="688">
        <f>SUM('Ausgrid Workforce'!M11,'PLUS ES Workforce'!M11)</f>
        <v>3111</v>
      </c>
      <c r="N11" s="191">
        <f>'Ausgrid Workforce'!N11+'PLUS ES Workforce'!N11</f>
        <v>546</v>
      </c>
      <c r="O11" s="192">
        <f>'Ausgrid Workforce'!O11+'PLUS ES Workforce'!O11</f>
        <v>2443</v>
      </c>
      <c r="P11" s="192">
        <f>'Ausgrid Workforce'!P11+'PLUS ES Workforce'!P11</f>
        <v>2989</v>
      </c>
      <c r="Q11" s="191">
        <f>'Ausgrid Workforce'!Q11+'PLUS ES Workforce'!Q11</f>
        <v>529</v>
      </c>
      <c r="R11" s="192">
        <f>'Ausgrid Workforce'!R11+'PLUS ES Workforce'!R11</f>
        <v>2512</v>
      </c>
      <c r="S11" s="192">
        <f>'Ausgrid Workforce'!S11+'PLUS ES Workforce'!S11</f>
        <v>3041</v>
      </c>
      <c r="T11" s="191">
        <f>'Ausgrid Workforce'!T11+'PLUS ES Workforce'!T11</f>
        <v>483</v>
      </c>
      <c r="U11" s="192">
        <f>'Ausgrid Workforce'!U11+'PLUS ES Workforce'!U11</f>
        <v>2463</v>
      </c>
      <c r="V11" s="192">
        <f>'Ausgrid Workforce'!V11+'PLUS ES Workforce'!V11</f>
        <v>2946</v>
      </c>
      <c r="W11" s="191">
        <f>'Ausgrid Workforce'!W11+'PLUS ES Workforce'!W11</f>
        <v>541</v>
      </c>
      <c r="X11" s="192">
        <f>'Ausgrid Workforce'!X11+'PLUS ES Workforce'!X11</f>
        <v>2615</v>
      </c>
      <c r="Y11" s="192">
        <f>'Ausgrid Workforce'!Y11+'PLUS ES Workforce'!Y11</f>
        <v>3156</v>
      </c>
      <c r="Z11" s="191">
        <f>'Ausgrid Workforce'!Z11+'PLUS ES Workforce'!Z11</f>
        <v>578</v>
      </c>
      <c r="AA11" s="192">
        <f>'Ausgrid Workforce'!AA11+'PLUS ES Workforce'!AA11</f>
        <v>2986</v>
      </c>
      <c r="AB11" s="192">
        <f>'Ausgrid Workforce'!AB11+'PLUS ES Workforce'!AB11</f>
        <v>3564</v>
      </c>
      <c r="AC11" s="191">
        <f>'Ausgrid Workforce'!AC11+'PLUS ES Workforce'!AC11</f>
        <v>594</v>
      </c>
      <c r="AD11" s="192">
        <f>'Ausgrid Workforce'!AD11+'PLUS ES Workforce'!AD11</f>
        <v>3150</v>
      </c>
      <c r="AE11" s="192">
        <f>'Ausgrid Workforce'!AE11+'PLUS ES Workforce'!AE11</f>
        <v>3744</v>
      </c>
    </row>
    <row r="12" spans="2:31" ht="26.85" customHeight="1" x14ac:dyDescent="0.25">
      <c r="B12" s="193" t="s">
        <v>104</v>
      </c>
      <c r="C12" s="193"/>
      <c r="D12" s="193" t="s">
        <v>31</v>
      </c>
      <c r="E12" s="193"/>
      <c r="F12" s="752">
        <f>F11/$I$11</f>
        <v>0.20238843494657449</v>
      </c>
      <c r="G12" s="752">
        <f t="shared" ref="G12:I12" si="0">G11/$I$11</f>
        <v>0.79572595851665617</v>
      </c>
      <c r="H12" s="752">
        <f t="shared" si="0"/>
        <v>1.8856065367693275E-3</v>
      </c>
      <c r="I12" s="504">
        <f t="shared" si="0"/>
        <v>1</v>
      </c>
      <c r="J12" s="692">
        <f t="shared" ref="J12:M12" si="1">J11/$M$11</f>
        <v>0.19254259080681452</v>
      </c>
      <c r="K12" s="692">
        <f t="shared" si="1"/>
        <v>0.80552876888460301</v>
      </c>
      <c r="L12" s="692">
        <f t="shared" si="1"/>
        <v>1.9286403085824494E-3</v>
      </c>
      <c r="M12" s="693">
        <f t="shared" si="1"/>
        <v>1</v>
      </c>
      <c r="N12" s="208">
        <f>N11/P11</f>
        <v>0.18266978922716628</v>
      </c>
      <c r="O12" s="208">
        <f>O11/P11</f>
        <v>0.81733021077283374</v>
      </c>
      <c r="P12" s="230">
        <f>SUM(N12:O12)</f>
        <v>1</v>
      </c>
      <c r="Q12" s="208">
        <f>Q11/S11</f>
        <v>0.17395593554751726</v>
      </c>
      <c r="R12" s="208">
        <f>R11/S11</f>
        <v>0.82604406445248268</v>
      </c>
      <c r="S12" s="230">
        <f>SUM(Q12:R12)</f>
        <v>1</v>
      </c>
      <c r="T12" s="208">
        <f>T11/V11</f>
        <v>0.16395112016293278</v>
      </c>
      <c r="U12" s="208">
        <f>U11/V11</f>
        <v>0.83604887983706722</v>
      </c>
      <c r="V12" s="230">
        <f>SUM(T12:U12)</f>
        <v>1</v>
      </c>
      <c r="W12" s="208">
        <f>W11/Y11</f>
        <v>0.17141951837769329</v>
      </c>
      <c r="X12" s="208">
        <f>X11/Y11</f>
        <v>0.82858048162230669</v>
      </c>
      <c r="Y12" s="230">
        <f>SUM(W12:X12)</f>
        <v>1</v>
      </c>
      <c r="Z12" s="208">
        <f>Z11/AB11</f>
        <v>0.16217732884399552</v>
      </c>
      <c r="AA12" s="208">
        <f>AA11/AB11</f>
        <v>0.83782267115600451</v>
      </c>
      <c r="AB12" s="230">
        <f>SUM(Z12:AA12)</f>
        <v>1</v>
      </c>
      <c r="AC12" s="208">
        <f>AC11/AE11</f>
        <v>0.15865384615384615</v>
      </c>
      <c r="AD12" s="208">
        <f>AD11/AE11</f>
        <v>0.84134615384615385</v>
      </c>
      <c r="AE12" s="230">
        <f>SUM(AC12:AD12)</f>
        <v>1</v>
      </c>
    </row>
    <row r="13" spans="2:31" ht="26.85" customHeight="1" x14ac:dyDescent="0.2">
      <c r="B13" s="932" t="s">
        <v>105</v>
      </c>
      <c r="C13" s="932"/>
      <c r="D13" s="932"/>
      <c r="E13" s="932"/>
      <c r="F13" s="932"/>
      <c r="G13" s="932"/>
      <c r="H13" s="932"/>
      <c r="I13" s="932"/>
      <c r="J13" s="932"/>
      <c r="K13" s="932"/>
      <c r="L13" s="932"/>
      <c r="M13" s="932"/>
      <c r="N13" s="932"/>
      <c r="O13" s="932"/>
      <c r="P13" s="932"/>
      <c r="Q13" s="932"/>
      <c r="R13" s="932"/>
      <c r="S13" s="932"/>
      <c r="T13" s="932"/>
      <c r="U13" s="932"/>
      <c r="V13" s="932"/>
      <c r="W13" s="932"/>
      <c r="X13" s="932"/>
      <c r="Y13" s="932"/>
      <c r="Z13" s="932"/>
      <c r="AA13" s="932"/>
      <c r="AB13" s="932"/>
      <c r="AC13" s="932"/>
      <c r="AD13" s="932"/>
      <c r="AE13" s="932"/>
    </row>
    <row r="14" spans="2:31" ht="50.1" customHeight="1" x14ac:dyDescent="0.2">
      <c r="B14" s="327"/>
      <c r="C14" s="327"/>
      <c r="D14" s="328"/>
      <c r="E14" s="328"/>
      <c r="F14" s="460"/>
      <c r="G14" s="460"/>
      <c r="H14" s="460"/>
      <c r="I14" s="460"/>
      <c r="J14" s="460"/>
      <c r="K14" s="460"/>
      <c r="L14" s="460"/>
      <c r="M14" s="460"/>
      <c r="N14" s="329"/>
      <c r="O14" s="329"/>
      <c r="P14" s="329"/>
      <c r="Q14" s="329"/>
      <c r="R14" s="329"/>
      <c r="S14" s="329"/>
      <c r="T14" s="329"/>
      <c r="U14" s="329"/>
      <c r="V14" s="329"/>
      <c r="W14" s="329"/>
      <c r="X14" s="329"/>
      <c r="Y14" s="329"/>
      <c r="Z14" s="329"/>
      <c r="AA14" s="329"/>
      <c r="AB14" s="329"/>
      <c r="AC14" s="329"/>
      <c r="AD14" s="329"/>
      <c r="AE14" s="329"/>
    </row>
    <row r="15" spans="2:31" ht="26.85" customHeight="1" x14ac:dyDescent="0.2">
      <c r="B15" s="6" t="s">
        <v>106</v>
      </c>
      <c r="C15" s="6"/>
      <c r="D15" s="7" t="s">
        <v>9</v>
      </c>
      <c r="E15" s="7"/>
      <c r="F15" s="930" t="s">
        <v>11</v>
      </c>
      <c r="G15" s="930"/>
      <c r="H15" s="930"/>
      <c r="I15" s="930"/>
      <c r="J15" s="930" t="s">
        <v>11</v>
      </c>
      <c r="K15" s="930"/>
      <c r="L15" s="930"/>
      <c r="M15" s="930"/>
      <c r="N15" s="920" t="s">
        <v>12</v>
      </c>
      <c r="O15" s="920"/>
      <c r="P15" s="920"/>
      <c r="Q15" s="920" t="s">
        <v>13</v>
      </c>
      <c r="R15" s="920"/>
      <c r="S15" s="920"/>
      <c r="T15" s="920" t="s">
        <v>14</v>
      </c>
      <c r="U15" s="920"/>
      <c r="V15" s="920"/>
      <c r="W15" s="920" t="s">
        <v>15</v>
      </c>
      <c r="X15" s="920"/>
      <c r="Y15" s="920"/>
      <c r="Z15" s="920" t="s">
        <v>16</v>
      </c>
      <c r="AA15" s="920"/>
      <c r="AB15" s="920"/>
      <c r="AC15" s="920" t="s">
        <v>17</v>
      </c>
      <c r="AD15" s="920"/>
      <c r="AE15" s="920"/>
    </row>
    <row r="16" spans="2:31" ht="26.85" customHeight="1" x14ac:dyDescent="0.25">
      <c r="B16" s="546"/>
      <c r="C16" s="546"/>
      <c r="D16" s="546"/>
      <c r="E16" s="546"/>
      <c r="F16" s="532" t="s">
        <v>99</v>
      </c>
      <c r="G16" s="532" t="s">
        <v>100</v>
      </c>
      <c r="H16" s="532" t="s">
        <v>101</v>
      </c>
      <c r="I16" s="532" t="s">
        <v>102</v>
      </c>
      <c r="J16" s="690" t="s">
        <v>99</v>
      </c>
      <c r="K16" s="690" t="s">
        <v>100</v>
      </c>
      <c r="L16" s="690" t="s">
        <v>101</v>
      </c>
      <c r="M16" s="690" t="s">
        <v>102</v>
      </c>
      <c r="N16" s="183" t="s">
        <v>99</v>
      </c>
      <c r="O16" s="183" t="s">
        <v>100</v>
      </c>
      <c r="P16" s="183" t="s">
        <v>102</v>
      </c>
      <c r="Q16" s="183" t="s">
        <v>99</v>
      </c>
      <c r="R16" s="183" t="s">
        <v>100</v>
      </c>
      <c r="S16" s="183" t="s">
        <v>102</v>
      </c>
      <c r="T16" s="183" t="s">
        <v>99</v>
      </c>
      <c r="U16" s="183" t="s">
        <v>100</v>
      </c>
      <c r="V16" s="183" t="s">
        <v>102</v>
      </c>
      <c r="W16" s="183" t="s">
        <v>99</v>
      </c>
      <c r="X16" s="183" t="s">
        <v>100</v>
      </c>
      <c r="Y16" s="183" t="s">
        <v>102</v>
      </c>
      <c r="Z16" s="183" t="s">
        <v>99</v>
      </c>
      <c r="AA16" s="183" t="s">
        <v>100</v>
      </c>
      <c r="AB16" s="183" t="s">
        <v>102</v>
      </c>
      <c r="AC16" s="183" t="s">
        <v>99</v>
      </c>
      <c r="AD16" s="183" t="s">
        <v>100</v>
      </c>
      <c r="AE16" s="183" t="s">
        <v>102</v>
      </c>
    </row>
    <row r="17" spans="2:31" ht="26.85" customHeight="1" x14ac:dyDescent="0.25">
      <c r="B17" s="231" t="s">
        <v>107</v>
      </c>
      <c r="C17" s="231"/>
      <c r="D17" s="193" t="s">
        <v>31</v>
      </c>
      <c r="E17" s="193"/>
      <c r="F17" s="458">
        <f>SUM(F18:F23)/$I$11</f>
        <v>0.18164676304211189</v>
      </c>
      <c r="G17" s="458">
        <f t="shared" ref="G17:H17" si="2">SUM(G18:G23)/$I$11</f>
        <v>0.79164047768698931</v>
      </c>
      <c r="H17" s="458">
        <f t="shared" si="2"/>
        <v>1.8856065367693275E-3</v>
      </c>
      <c r="I17" s="458">
        <f>SUM(I18:I23)/$I$11</f>
        <v>0.9751728472658705</v>
      </c>
      <c r="J17" s="694">
        <f>SUM(J18:J23)/$M$11</f>
        <v>0.17197042751526839</v>
      </c>
      <c r="K17" s="694">
        <f t="shared" ref="K17:M17" si="3">SUM(K18:K23)/$M$11</f>
        <v>0.80199292831886848</v>
      </c>
      <c r="L17" s="694">
        <f t="shared" si="3"/>
        <v>1.9286403085824494E-3</v>
      </c>
      <c r="M17" s="694">
        <f t="shared" si="3"/>
        <v>0.97589199614271938</v>
      </c>
      <c r="N17" s="230">
        <f>N24/P11</f>
        <v>0.16058882569421212</v>
      </c>
      <c r="O17" s="208">
        <f>O24/P11</f>
        <v>0.81264637002341922</v>
      </c>
      <c r="P17" s="208">
        <f>P24/P11</f>
        <v>0.97323519571763129</v>
      </c>
      <c r="Q17" s="372" t="s">
        <v>23</v>
      </c>
      <c r="R17" s="372" t="s">
        <v>23</v>
      </c>
      <c r="S17" s="372" t="s">
        <v>23</v>
      </c>
      <c r="T17" s="372" t="s">
        <v>23</v>
      </c>
      <c r="U17" s="372" t="s">
        <v>23</v>
      </c>
      <c r="V17" s="372" t="s">
        <v>23</v>
      </c>
      <c r="W17" s="372" t="s">
        <v>23</v>
      </c>
      <c r="X17" s="372" t="s">
        <v>23</v>
      </c>
      <c r="Y17" s="372" t="s">
        <v>23</v>
      </c>
      <c r="Z17" s="372" t="s">
        <v>23</v>
      </c>
      <c r="AA17" s="372" t="s">
        <v>23</v>
      </c>
      <c r="AB17" s="372" t="s">
        <v>23</v>
      </c>
      <c r="AC17" s="372" t="s">
        <v>23</v>
      </c>
      <c r="AD17" s="372" t="s">
        <v>23</v>
      </c>
      <c r="AE17" s="372" t="s">
        <v>23</v>
      </c>
    </row>
    <row r="18" spans="2:31" ht="26.85" customHeight="1" x14ac:dyDescent="0.25">
      <c r="B18" s="345" t="s">
        <v>108</v>
      </c>
      <c r="C18" s="345"/>
      <c r="D18" s="193" t="s">
        <v>25</v>
      </c>
      <c r="E18" s="193"/>
      <c r="F18" s="456">
        <f>SUM('Ausgrid Workforce'!F18,'PLUS ES Workforce'!F18)</f>
        <v>205</v>
      </c>
      <c r="G18" s="456">
        <f>SUM('Ausgrid Workforce'!G18,'PLUS ES Workforce'!G18)</f>
        <v>829</v>
      </c>
      <c r="H18" s="456">
        <f>SUM('Ausgrid Workforce'!H18,'PLUS ES Workforce'!H18)</f>
        <v>0</v>
      </c>
      <c r="I18" s="756">
        <f>SUM(F18:G18)</f>
        <v>1034</v>
      </c>
      <c r="J18" s="689">
        <f>SUM('Ausgrid Workforce'!J18,'PLUS ES Workforce'!J18)</f>
        <v>192</v>
      </c>
      <c r="K18" s="689">
        <f>SUM('Ausgrid Workforce'!K18,'PLUS ES Workforce'!K18)</f>
        <v>814</v>
      </c>
      <c r="L18" s="689">
        <f>SUM('Ausgrid Workforce'!L18,'PLUS ES Workforce'!L18)</f>
        <v>0</v>
      </c>
      <c r="M18" s="688">
        <f>SUM(J18:K18)</f>
        <v>1006</v>
      </c>
      <c r="N18" s="191">
        <f>'Ausgrid Workforce'!N18+'PLUS ES Workforce'!N18</f>
        <v>161</v>
      </c>
      <c r="O18" s="191">
        <f>'Ausgrid Workforce'!O18+'PLUS ES Workforce'!O18</f>
        <v>781</v>
      </c>
      <c r="P18" s="191">
        <f>'Ausgrid Workforce'!P18+'PLUS ES Workforce'!P18</f>
        <v>942</v>
      </c>
      <c r="Q18" s="372" t="s">
        <v>23</v>
      </c>
      <c r="R18" s="372" t="s">
        <v>23</v>
      </c>
      <c r="S18" s="372" t="s">
        <v>23</v>
      </c>
      <c r="T18" s="372" t="s">
        <v>23</v>
      </c>
      <c r="U18" s="372" t="s">
        <v>23</v>
      </c>
      <c r="V18" s="372" t="s">
        <v>23</v>
      </c>
      <c r="W18" s="372" t="s">
        <v>23</v>
      </c>
      <c r="X18" s="372" t="s">
        <v>23</v>
      </c>
      <c r="Y18" s="372" t="s">
        <v>23</v>
      </c>
      <c r="Z18" s="372" t="s">
        <v>23</v>
      </c>
      <c r="AA18" s="372" t="s">
        <v>23</v>
      </c>
      <c r="AB18" s="372" t="s">
        <v>23</v>
      </c>
      <c r="AC18" s="372" t="s">
        <v>23</v>
      </c>
      <c r="AD18" s="372" t="s">
        <v>23</v>
      </c>
      <c r="AE18" s="372" t="s">
        <v>23</v>
      </c>
    </row>
    <row r="19" spans="2:31" ht="26.85" customHeight="1" x14ac:dyDescent="0.25">
      <c r="B19" s="345" t="s">
        <v>109</v>
      </c>
      <c r="C19" s="345"/>
      <c r="D19" s="193" t="s">
        <v>25</v>
      </c>
      <c r="E19" s="193"/>
      <c r="F19" s="456">
        <f>SUM('Ausgrid Workforce'!F19,'PLUS ES Workforce'!F19)</f>
        <v>359</v>
      </c>
      <c r="G19" s="756">
        <f>SUM('Ausgrid Workforce'!G19,'PLUS ES Workforce'!G19)</f>
        <v>1675</v>
      </c>
      <c r="H19" s="456">
        <f>SUM('Ausgrid Workforce'!H19,'PLUS ES Workforce'!H19)</f>
        <v>0</v>
      </c>
      <c r="I19" s="756">
        <f>SUM(F19:G19)</f>
        <v>2034</v>
      </c>
      <c r="J19" s="689">
        <f>SUM('Ausgrid Workforce'!J19,'PLUS ES Workforce'!J19)</f>
        <v>330</v>
      </c>
      <c r="K19" s="688">
        <f>SUM('Ausgrid Workforce'!K19,'PLUS ES Workforce'!K19)</f>
        <v>1664</v>
      </c>
      <c r="L19" s="689">
        <f>SUM('Ausgrid Workforce'!L19,'PLUS ES Workforce'!L19)</f>
        <v>0</v>
      </c>
      <c r="M19" s="688">
        <f>SUM(J19:K19)</f>
        <v>1994</v>
      </c>
      <c r="N19" s="191">
        <f>'Ausgrid Workforce'!N19+'PLUS ES Workforce'!N19</f>
        <v>307</v>
      </c>
      <c r="O19" s="192">
        <f>'Ausgrid Workforce'!O19+'PLUS ES Workforce'!O19</f>
        <v>1625</v>
      </c>
      <c r="P19" s="192">
        <f>'Ausgrid Workforce'!P19+'PLUS ES Workforce'!P19</f>
        <v>1932</v>
      </c>
      <c r="Q19" s="372" t="s">
        <v>23</v>
      </c>
      <c r="R19" s="372" t="s">
        <v>23</v>
      </c>
      <c r="S19" s="372" t="s">
        <v>23</v>
      </c>
      <c r="T19" s="372" t="s">
        <v>23</v>
      </c>
      <c r="U19" s="372" t="s">
        <v>23</v>
      </c>
      <c r="V19" s="372" t="s">
        <v>23</v>
      </c>
      <c r="W19" s="372" t="s">
        <v>23</v>
      </c>
      <c r="X19" s="372" t="s">
        <v>23</v>
      </c>
      <c r="Y19" s="372" t="s">
        <v>23</v>
      </c>
      <c r="Z19" s="372" t="s">
        <v>23</v>
      </c>
      <c r="AA19" s="372" t="s">
        <v>23</v>
      </c>
      <c r="AB19" s="372" t="s">
        <v>23</v>
      </c>
      <c r="AC19" s="372" t="s">
        <v>23</v>
      </c>
      <c r="AD19" s="372" t="s">
        <v>23</v>
      </c>
      <c r="AE19" s="372" t="s">
        <v>23</v>
      </c>
    </row>
    <row r="20" spans="2:31" ht="26.85" customHeight="1" x14ac:dyDescent="0.25">
      <c r="B20" s="345" t="s">
        <v>110</v>
      </c>
      <c r="C20" s="345"/>
      <c r="D20" s="193" t="s">
        <v>25</v>
      </c>
      <c r="E20" s="193"/>
      <c r="F20" s="456">
        <f>SUM('Ausgrid Workforce'!F20,'PLUS ES Workforce'!F20)</f>
        <v>14</v>
      </c>
      <c r="G20" s="456">
        <f>SUM('Ausgrid Workforce'!G20,'PLUS ES Workforce'!G20)</f>
        <v>15</v>
      </c>
      <c r="H20" s="456">
        <f>SUM('Ausgrid Workforce'!H20,'PLUS ES Workforce'!H20)</f>
        <v>0</v>
      </c>
      <c r="I20" s="456">
        <f>SUM(F20:G20)</f>
        <v>29</v>
      </c>
      <c r="J20" s="689">
        <f>SUM('Ausgrid Workforce'!J20,'PLUS ES Workforce'!J20)</f>
        <v>13</v>
      </c>
      <c r="K20" s="689">
        <f>SUM('Ausgrid Workforce'!K20,'PLUS ES Workforce'!K20)</f>
        <v>17</v>
      </c>
      <c r="L20" s="689">
        <f>SUM('Ausgrid Workforce'!L20,'PLUS ES Workforce'!L20)</f>
        <v>0</v>
      </c>
      <c r="M20" s="689">
        <f>SUM(J20:K20)</f>
        <v>30</v>
      </c>
      <c r="N20" s="191">
        <f>'Ausgrid Workforce'!N20+'PLUS ES Workforce'!N20</f>
        <v>12</v>
      </c>
      <c r="O20" s="191">
        <f>'Ausgrid Workforce'!O20+'PLUS ES Workforce'!O20</f>
        <v>23</v>
      </c>
      <c r="P20" s="191">
        <f>'Ausgrid Workforce'!P20+'PLUS ES Workforce'!P20</f>
        <v>35</v>
      </c>
      <c r="Q20" s="372" t="s">
        <v>23</v>
      </c>
      <c r="R20" s="372" t="s">
        <v>23</v>
      </c>
      <c r="S20" s="372" t="s">
        <v>23</v>
      </c>
      <c r="T20" s="372" t="s">
        <v>23</v>
      </c>
      <c r="U20" s="372" t="s">
        <v>23</v>
      </c>
      <c r="V20" s="372" t="s">
        <v>23</v>
      </c>
      <c r="W20" s="372" t="s">
        <v>23</v>
      </c>
      <c r="X20" s="372" t="s">
        <v>23</v>
      </c>
      <c r="Y20" s="372" t="s">
        <v>23</v>
      </c>
      <c r="Z20" s="372" t="s">
        <v>23</v>
      </c>
      <c r="AA20" s="372" t="s">
        <v>23</v>
      </c>
      <c r="AB20" s="372" t="s">
        <v>23</v>
      </c>
      <c r="AC20" s="372" t="s">
        <v>23</v>
      </c>
      <c r="AD20" s="372" t="s">
        <v>23</v>
      </c>
      <c r="AE20" s="372" t="s">
        <v>23</v>
      </c>
    </row>
    <row r="21" spans="2:31" ht="26.85" customHeight="1" x14ac:dyDescent="0.25">
      <c r="B21" s="345" t="s">
        <v>111</v>
      </c>
      <c r="C21" s="345"/>
      <c r="D21" s="193" t="s">
        <v>25</v>
      </c>
      <c r="E21" s="193"/>
      <c r="F21" s="456">
        <f>SUM('PLUS ES Workforce'!F21)</f>
        <v>0</v>
      </c>
      <c r="G21" s="456">
        <f>SUM('PLUS ES Workforce'!G21)</f>
        <v>0</v>
      </c>
      <c r="H21" s="456">
        <f>SUM('PLUS ES Workforce'!H21)</f>
        <v>0</v>
      </c>
      <c r="I21" s="456">
        <f t="shared" ref="I21:I22" si="4">SUM(F21:G21)</f>
        <v>0</v>
      </c>
      <c r="J21" s="689">
        <f>SUM('PLUS ES Workforce'!J21)</f>
        <v>0</v>
      </c>
      <c r="K21" s="689">
        <f>SUM('PLUS ES Workforce'!K21)</f>
        <v>0</v>
      </c>
      <c r="L21" s="689">
        <f>SUM('PLUS ES Workforce'!L21)</f>
        <v>0</v>
      </c>
      <c r="M21" s="689">
        <f t="shared" ref="M21:M22" si="5">SUM(J21:K21)</f>
        <v>0</v>
      </c>
      <c r="N21" s="372" t="s">
        <v>23</v>
      </c>
      <c r="O21" s="372" t="s">
        <v>23</v>
      </c>
      <c r="P21" s="372" t="s">
        <v>23</v>
      </c>
      <c r="Q21" s="372" t="s">
        <v>23</v>
      </c>
      <c r="R21" s="372" t="s">
        <v>23</v>
      </c>
      <c r="S21" s="372" t="s">
        <v>23</v>
      </c>
      <c r="T21" s="372" t="s">
        <v>23</v>
      </c>
      <c r="U21" s="372" t="s">
        <v>23</v>
      </c>
      <c r="V21" s="372" t="s">
        <v>23</v>
      </c>
      <c r="W21" s="372" t="s">
        <v>23</v>
      </c>
      <c r="X21" s="372" t="s">
        <v>23</v>
      </c>
      <c r="Y21" s="372" t="s">
        <v>23</v>
      </c>
      <c r="Z21" s="372" t="s">
        <v>23</v>
      </c>
      <c r="AA21" s="372" t="s">
        <v>23</v>
      </c>
      <c r="AB21" s="372" t="s">
        <v>23</v>
      </c>
      <c r="AC21" s="372" t="s">
        <v>23</v>
      </c>
      <c r="AD21" s="372" t="s">
        <v>23</v>
      </c>
      <c r="AE21" s="372" t="s">
        <v>23</v>
      </c>
    </row>
    <row r="22" spans="2:31" ht="26.85" customHeight="1" x14ac:dyDescent="0.25">
      <c r="B22" s="345" t="s">
        <v>112</v>
      </c>
      <c r="C22" s="345"/>
      <c r="D22" s="193" t="s">
        <v>25</v>
      </c>
      <c r="E22" s="193"/>
      <c r="F22" s="456">
        <f>SUM('PLUS ES Workforce'!F22)</f>
        <v>0</v>
      </c>
      <c r="G22" s="456">
        <f>SUM('PLUS ES Workforce'!G22)</f>
        <v>0</v>
      </c>
      <c r="H22" s="456">
        <f>SUM('PLUS ES Workforce'!H22)</f>
        <v>0</v>
      </c>
      <c r="I22" s="456">
        <f t="shared" si="4"/>
        <v>0</v>
      </c>
      <c r="J22" s="689">
        <f>SUM('PLUS ES Workforce'!J22)</f>
        <v>0</v>
      </c>
      <c r="K22" s="689">
        <f>SUM('PLUS ES Workforce'!K22)</f>
        <v>0</v>
      </c>
      <c r="L22" s="689">
        <f>SUM('PLUS ES Workforce'!L22)</f>
        <v>0</v>
      </c>
      <c r="M22" s="689">
        <f t="shared" si="5"/>
        <v>0</v>
      </c>
      <c r="N22" s="372" t="s">
        <v>23</v>
      </c>
      <c r="O22" s="372" t="s">
        <v>23</v>
      </c>
      <c r="P22" s="372" t="s">
        <v>23</v>
      </c>
      <c r="Q22" s="372" t="s">
        <v>23</v>
      </c>
      <c r="R22" s="372" t="s">
        <v>23</v>
      </c>
      <c r="S22" s="372" t="s">
        <v>23</v>
      </c>
      <c r="T22" s="372" t="s">
        <v>23</v>
      </c>
      <c r="U22" s="372" t="s">
        <v>23</v>
      </c>
      <c r="V22" s="372" t="s">
        <v>23</v>
      </c>
      <c r="W22" s="372" t="s">
        <v>23</v>
      </c>
      <c r="X22" s="372" t="s">
        <v>23</v>
      </c>
      <c r="Y22" s="372" t="s">
        <v>23</v>
      </c>
      <c r="Z22" s="372" t="s">
        <v>23</v>
      </c>
      <c r="AA22" s="372" t="s">
        <v>23</v>
      </c>
      <c r="AB22" s="372" t="s">
        <v>23</v>
      </c>
      <c r="AC22" s="372" t="s">
        <v>23</v>
      </c>
      <c r="AD22" s="372" t="s">
        <v>23</v>
      </c>
      <c r="AE22" s="372" t="s">
        <v>23</v>
      </c>
    </row>
    <row r="23" spans="2:31" ht="26.85" customHeight="1" x14ac:dyDescent="0.25">
      <c r="B23" s="345" t="s">
        <v>113</v>
      </c>
      <c r="C23" s="345"/>
      <c r="D23" s="193" t="s">
        <v>25</v>
      </c>
      <c r="E23" s="193"/>
      <c r="F23" s="456" t="s">
        <v>23</v>
      </c>
      <c r="G23" s="456" t="s">
        <v>23</v>
      </c>
      <c r="H23" s="456">
        <f>SUM('Ausgrid Workforce'!H21,'PLUS ES Workforce'!H23)</f>
        <v>6</v>
      </c>
      <c r="I23" s="456">
        <f>H23</f>
        <v>6</v>
      </c>
      <c r="J23" s="689" t="s">
        <v>23</v>
      </c>
      <c r="K23" s="689" t="s">
        <v>23</v>
      </c>
      <c r="L23" s="689">
        <f>SUM('Ausgrid Workforce'!L21,'PLUS ES Workforce'!L23)</f>
        <v>6</v>
      </c>
      <c r="M23" s="689">
        <f>L23</f>
        <v>6</v>
      </c>
      <c r="N23" s="372" t="s">
        <v>23</v>
      </c>
      <c r="O23" s="372" t="s">
        <v>23</v>
      </c>
      <c r="P23" s="372" t="s">
        <v>23</v>
      </c>
      <c r="Q23" s="372" t="s">
        <v>23</v>
      </c>
      <c r="R23" s="372" t="s">
        <v>23</v>
      </c>
      <c r="S23" s="372" t="s">
        <v>23</v>
      </c>
      <c r="T23" s="372" t="s">
        <v>23</v>
      </c>
      <c r="U23" s="372" t="s">
        <v>23</v>
      </c>
      <c r="V23" s="372" t="s">
        <v>23</v>
      </c>
      <c r="W23" s="372" t="s">
        <v>23</v>
      </c>
      <c r="X23" s="372" t="s">
        <v>23</v>
      </c>
      <c r="Y23" s="372" t="s">
        <v>23</v>
      </c>
      <c r="Z23" s="372" t="s">
        <v>23</v>
      </c>
      <c r="AA23" s="372" t="s">
        <v>23</v>
      </c>
      <c r="AB23" s="372" t="s">
        <v>23</v>
      </c>
      <c r="AC23" s="372" t="s">
        <v>23</v>
      </c>
      <c r="AD23" s="372" t="s">
        <v>23</v>
      </c>
      <c r="AE23" s="372" t="s">
        <v>23</v>
      </c>
    </row>
    <row r="24" spans="2:31" ht="26.85" customHeight="1" x14ac:dyDescent="0.25">
      <c r="B24" s="345" t="s">
        <v>102</v>
      </c>
      <c r="C24" s="345"/>
      <c r="D24" s="193" t="s">
        <v>25</v>
      </c>
      <c r="E24" s="193"/>
      <c r="F24" s="456">
        <f>SUM(F18:F23)</f>
        <v>578</v>
      </c>
      <c r="G24" s="756">
        <f>SUM(G18:G23)</f>
        <v>2519</v>
      </c>
      <c r="H24" s="456">
        <f>H23</f>
        <v>6</v>
      </c>
      <c r="I24" s="756">
        <f>SUM(F24:H24)</f>
        <v>3103</v>
      </c>
      <c r="J24" s="689">
        <f>SUM(J18:J23)</f>
        <v>535</v>
      </c>
      <c r="K24" s="688">
        <f>SUM(K18:K23)</f>
        <v>2495</v>
      </c>
      <c r="L24" s="689">
        <f>L23</f>
        <v>6</v>
      </c>
      <c r="M24" s="688">
        <f>SUM(J24:L24)</f>
        <v>3036</v>
      </c>
      <c r="N24" s="191">
        <f>SUM(N18:N20)</f>
        <v>480</v>
      </c>
      <c r="O24" s="192">
        <f>SUM(O18:O20)</f>
        <v>2429</v>
      </c>
      <c r="P24" s="192">
        <f>SUM(P18:P20)</f>
        <v>2909</v>
      </c>
      <c r="Q24" s="372" t="s">
        <v>23</v>
      </c>
      <c r="R24" s="372" t="s">
        <v>23</v>
      </c>
      <c r="S24" s="372" t="s">
        <v>23</v>
      </c>
      <c r="T24" s="372" t="s">
        <v>23</v>
      </c>
      <c r="U24" s="372" t="s">
        <v>23</v>
      </c>
      <c r="V24" s="372" t="s">
        <v>23</v>
      </c>
      <c r="W24" s="372" t="s">
        <v>23</v>
      </c>
      <c r="X24" s="372" t="s">
        <v>23</v>
      </c>
      <c r="Y24" s="372" t="s">
        <v>23</v>
      </c>
      <c r="Z24" s="372" t="s">
        <v>23</v>
      </c>
      <c r="AA24" s="372" t="s">
        <v>23</v>
      </c>
      <c r="AB24" s="372" t="s">
        <v>23</v>
      </c>
      <c r="AC24" s="372" t="s">
        <v>23</v>
      </c>
      <c r="AD24" s="372" t="s">
        <v>23</v>
      </c>
      <c r="AE24" s="372" t="s">
        <v>23</v>
      </c>
    </row>
    <row r="25" spans="2:31" ht="26.85" customHeight="1" x14ac:dyDescent="0.25">
      <c r="B25" s="231" t="s">
        <v>114</v>
      </c>
      <c r="C25" s="231"/>
      <c r="D25" s="193" t="s">
        <v>31</v>
      </c>
      <c r="E25" s="193"/>
      <c r="F25" s="458">
        <f>SUM(F26:F31)/$I$11</f>
        <v>2.0741671904462602E-2</v>
      </c>
      <c r="G25" s="458">
        <f t="shared" ref="G25:H25" si="6">SUM(G26:G31)/$I$11</f>
        <v>4.0854808296668758E-3</v>
      </c>
      <c r="H25" s="458">
        <f t="shared" si="6"/>
        <v>0</v>
      </c>
      <c r="I25" s="458">
        <f>SUM(I26:I31)/$I$11</f>
        <v>2.4827152734129478E-2</v>
      </c>
      <c r="J25" s="694">
        <f>SUM(J26:J31)/$M$11</f>
        <v>2.0572163291546125E-2</v>
      </c>
      <c r="K25" s="694">
        <f t="shared" ref="K25" si="7">SUM(K26:K31)/$M$11</f>
        <v>3.5358405657344907E-3</v>
      </c>
      <c r="L25" s="694">
        <f t="shared" ref="L25" si="8">SUM(L26:L31)/$M$11</f>
        <v>0</v>
      </c>
      <c r="M25" s="694">
        <f t="shared" ref="M25" si="9">SUM(M26:M31)/$M$11</f>
        <v>2.4108003857280617E-2</v>
      </c>
      <c r="N25" s="208">
        <f>N32/P11</f>
        <v>2.2080963532954166E-2</v>
      </c>
      <c r="O25" s="208">
        <f>O32/P11</f>
        <v>4.6838407494145199E-3</v>
      </c>
      <c r="P25" s="208">
        <f>P32/P11</f>
        <v>2.6764804282368684E-2</v>
      </c>
      <c r="Q25" s="372" t="s">
        <v>23</v>
      </c>
      <c r="R25" s="372" t="s">
        <v>23</v>
      </c>
      <c r="S25" s="372" t="s">
        <v>23</v>
      </c>
      <c r="T25" s="372" t="s">
        <v>23</v>
      </c>
      <c r="U25" s="372" t="s">
        <v>23</v>
      </c>
      <c r="V25" s="372" t="s">
        <v>23</v>
      </c>
      <c r="W25" s="372" t="s">
        <v>23</v>
      </c>
      <c r="X25" s="372" t="s">
        <v>23</v>
      </c>
      <c r="Y25" s="372" t="s">
        <v>23</v>
      </c>
      <c r="Z25" s="372" t="s">
        <v>23</v>
      </c>
      <c r="AA25" s="372" t="s">
        <v>23</v>
      </c>
      <c r="AB25" s="372" t="s">
        <v>23</v>
      </c>
      <c r="AC25" s="372" t="s">
        <v>23</v>
      </c>
      <c r="AD25" s="372" t="s">
        <v>23</v>
      </c>
      <c r="AE25" s="372" t="s">
        <v>23</v>
      </c>
    </row>
    <row r="26" spans="2:31" ht="26.85" customHeight="1" x14ac:dyDescent="0.25">
      <c r="B26" s="345" t="s">
        <v>108</v>
      </c>
      <c r="C26" s="345"/>
      <c r="D26" s="193" t="s">
        <v>25</v>
      </c>
      <c r="E26" s="193"/>
      <c r="F26" s="760">
        <f>SUM('Ausgrid Workforce'!F24,'PLUS ES Workforce'!F26)</f>
        <v>40</v>
      </c>
      <c r="G26" s="760">
        <f>SUM('Ausgrid Workforce'!G24,'PLUS ES Workforce'!G26)</f>
        <v>3</v>
      </c>
      <c r="H26" s="760">
        <f>SUM('Ausgrid Workforce'!H24,'PLUS ES Workforce'!H26)</f>
        <v>0</v>
      </c>
      <c r="I26" s="766">
        <f>SUM(F26:G26)</f>
        <v>43</v>
      </c>
      <c r="J26" s="695">
        <f>SUM('Ausgrid Workforce'!J24,'PLUS ES Workforce'!J26)</f>
        <v>34</v>
      </c>
      <c r="K26" s="695">
        <f>SUM('Ausgrid Workforce'!K24,'PLUS ES Workforce'!K26)</f>
        <v>4</v>
      </c>
      <c r="L26" s="695">
        <f>SUM('Ausgrid Workforce'!L24,'PLUS ES Workforce'!L26)</f>
        <v>0</v>
      </c>
      <c r="M26" s="696">
        <f>SUM(J26:K26)</f>
        <v>38</v>
      </c>
      <c r="N26" s="191">
        <f>'Ausgrid Workforce'!N24+'PLUS ES Workforce'!N26</f>
        <v>33</v>
      </c>
      <c r="O26" s="191">
        <f>'Ausgrid Workforce'!O24+'PLUS ES Workforce'!O26</f>
        <v>6</v>
      </c>
      <c r="P26" s="191">
        <f>'Ausgrid Workforce'!P24+'PLUS ES Workforce'!P26</f>
        <v>39</v>
      </c>
      <c r="Q26" s="372" t="s">
        <v>23</v>
      </c>
      <c r="R26" s="372" t="s">
        <v>23</v>
      </c>
      <c r="S26" s="372" t="s">
        <v>23</v>
      </c>
      <c r="T26" s="372" t="s">
        <v>23</v>
      </c>
      <c r="U26" s="372" t="s">
        <v>23</v>
      </c>
      <c r="V26" s="372" t="s">
        <v>23</v>
      </c>
      <c r="W26" s="372" t="s">
        <v>23</v>
      </c>
      <c r="X26" s="372" t="s">
        <v>23</v>
      </c>
      <c r="Y26" s="372" t="s">
        <v>23</v>
      </c>
      <c r="Z26" s="372" t="s">
        <v>23</v>
      </c>
      <c r="AA26" s="372" t="s">
        <v>23</v>
      </c>
      <c r="AB26" s="372" t="s">
        <v>23</v>
      </c>
      <c r="AC26" s="372" t="s">
        <v>23</v>
      </c>
      <c r="AD26" s="372" t="s">
        <v>23</v>
      </c>
      <c r="AE26" s="372" t="s">
        <v>23</v>
      </c>
    </row>
    <row r="27" spans="2:31" ht="26.85" customHeight="1" x14ac:dyDescent="0.25">
      <c r="B27" s="345" t="s">
        <v>109</v>
      </c>
      <c r="C27" s="345"/>
      <c r="D27" s="193" t="s">
        <v>25</v>
      </c>
      <c r="E27" s="193"/>
      <c r="F27" s="760">
        <f>SUM('Ausgrid Workforce'!F25,'PLUS ES Workforce'!F27)</f>
        <v>24</v>
      </c>
      <c r="G27" s="760">
        <f>SUM('Ausgrid Workforce'!G25,'PLUS ES Workforce'!G27)</f>
        <v>10</v>
      </c>
      <c r="H27" s="760">
        <f>SUM('Ausgrid Workforce'!H25,'PLUS ES Workforce'!H27)</f>
        <v>0</v>
      </c>
      <c r="I27" s="766">
        <f t="shared" ref="I27:I28" si="10">SUM(F27:G27)</f>
        <v>34</v>
      </c>
      <c r="J27" s="695">
        <f>SUM('Ausgrid Workforce'!J25,'PLUS ES Workforce'!J27)</f>
        <v>28</v>
      </c>
      <c r="K27" s="695">
        <f>SUM('Ausgrid Workforce'!K25,'PLUS ES Workforce'!K27)</f>
        <v>7</v>
      </c>
      <c r="L27" s="695">
        <f>SUM('Ausgrid Workforce'!L25,'PLUS ES Workforce'!L27)</f>
        <v>0</v>
      </c>
      <c r="M27" s="696">
        <f t="shared" ref="M27:M28" si="11">SUM(J27:K27)</f>
        <v>35</v>
      </c>
      <c r="N27" s="191">
        <f>'Ausgrid Workforce'!N25+'PLUS ES Workforce'!N27</f>
        <v>30</v>
      </c>
      <c r="O27" s="191">
        <f>'Ausgrid Workforce'!O25+'PLUS ES Workforce'!O27</f>
        <v>8</v>
      </c>
      <c r="P27" s="191">
        <f>'Ausgrid Workforce'!P25+'PLUS ES Workforce'!P27</f>
        <v>38</v>
      </c>
      <c r="Q27" s="372" t="s">
        <v>23</v>
      </c>
      <c r="R27" s="372" t="s">
        <v>23</v>
      </c>
      <c r="S27" s="372" t="s">
        <v>23</v>
      </c>
      <c r="T27" s="372" t="s">
        <v>23</v>
      </c>
      <c r="U27" s="372" t="s">
        <v>23</v>
      </c>
      <c r="V27" s="372" t="s">
        <v>23</v>
      </c>
      <c r="W27" s="372" t="s">
        <v>23</v>
      </c>
      <c r="X27" s="372" t="s">
        <v>23</v>
      </c>
      <c r="Y27" s="372" t="s">
        <v>23</v>
      </c>
      <c r="Z27" s="372" t="s">
        <v>23</v>
      </c>
      <c r="AA27" s="372" t="s">
        <v>23</v>
      </c>
      <c r="AB27" s="372" t="s">
        <v>23</v>
      </c>
      <c r="AC27" s="372" t="s">
        <v>23</v>
      </c>
      <c r="AD27" s="372" t="s">
        <v>23</v>
      </c>
      <c r="AE27" s="372" t="s">
        <v>23</v>
      </c>
    </row>
    <row r="28" spans="2:31" ht="26.85" customHeight="1" x14ac:dyDescent="0.25">
      <c r="B28" s="345" t="s">
        <v>110</v>
      </c>
      <c r="C28" s="345"/>
      <c r="D28" s="193" t="s">
        <v>25</v>
      </c>
      <c r="E28" s="193"/>
      <c r="F28" s="760">
        <f>SUM('Ausgrid Workforce'!F26,'PLUS ES Workforce'!F28)</f>
        <v>2</v>
      </c>
      <c r="G28" s="760">
        <f>SUM('Ausgrid Workforce'!G26,'PLUS ES Workforce'!G28)</f>
        <v>0</v>
      </c>
      <c r="H28" s="760">
        <f>SUM('Ausgrid Workforce'!H26,'PLUS ES Workforce'!H28)</f>
        <v>0</v>
      </c>
      <c r="I28" s="766">
        <f t="shared" si="10"/>
        <v>2</v>
      </c>
      <c r="J28" s="695">
        <f>SUM('Ausgrid Workforce'!J26,'PLUS ES Workforce'!J28)</f>
        <v>2</v>
      </c>
      <c r="K28" s="695">
        <f>SUM('Ausgrid Workforce'!K26,'PLUS ES Workforce'!K28)</f>
        <v>0</v>
      </c>
      <c r="L28" s="695">
        <f>SUM('Ausgrid Workforce'!L26,'PLUS ES Workforce'!L28)</f>
        <v>0</v>
      </c>
      <c r="M28" s="696">
        <f t="shared" si="11"/>
        <v>2</v>
      </c>
      <c r="N28" s="191">
        <f>'Ausgrid Workforce'!N26+'PLUS ES Workforce'!N28</f>
        <v>3</v>
      </c>
      <c r="O28" s="191">
        <f>'Ausgrid Workforce'!O26+'PLUS ES Workforce'!O28</f>
        <v>0</v>
      </c>
      <c r="P28" s="191">
        <f>'Ausgrid Workforce'!P26+'PLUS ES Workforce'!P28</f>
        <v>3</v>
      </c>
      <c r="Q28" s="372" t="s">
        <v>23</v>
      </c>
      <c r="R28" s="372" t="s">
        <v>23</v>
      </c>
      <c r="S28" s="372" t="s">
        <v>23</v>
      </c>
      <c r="T28" s="372" t="s">
        <v>23</v>
      </c>
      <c r="U28" s="372" t="s">
        <v>23</v>
      </c>
      <c r="V28" s="372" t="s">
        <v>23</v>
      </c>
      <c r="W28" s="372" t="s">
        <v>23</v>
      </c>
      <c r="X28" s="372" t="s">
        <v>23</v>
      </c>
      <c r="Y28" s="372" t="s">
        <v>23</v>
      </c>
      <c r="Z28" s="372" t="s">
        <v>23</v>
      </c>
      <c r="AA28" s="372" t="s">
        <v>23</v>
      </c>
      <c r="AB28" s="372" t="s">
        <v>23</v>
      </c>
      <c r="AC28" s="372" t="s">
        <v>23</v>
      </c>
      <c r="AD28" s="372" t="s">
        <v>23</v>
      </c>
      <c r="AE28" s="372" t="s">
        <v>23</v>
      </c>
    </row>
    <row r="29" spans="2:31" ht="26.85" customHeight="1" x14ac:dyDescent="0.25">
      <c r="B29" s="345" t="s">
        <v>111</v>
      </c>
      <c r="C29" s="345"/>
      <c r="D29" s="193" t="s">
        <v>25</v>
      </c>
      <c r="E29" s="193"/>
      <c r="F29" s="760" t="str">
        <f>'PLUS ES Workforce'!F29</f>
        <v>-</v>
      </c>
      <c r="G29" s="760" t="str">
        <f>'PLUS ES Workforce'!G29</f>
        <v>-</v>
      </c>
      <c r="H29" s="760" t="str">
        <f>'PLUS ES Workforce'!H29</f>
        <v>-</v>
      </c>
      <c r="I29" s="766">
        <f>SUM(F29:G29)</f>
        <v>0</v>
      </c>
      <c r="J29" s="695" t="str">
        <f>'PLUS ES Workforce'!J29</f>
        <v>-</v>
      </c>
      <c r="K29" s="695" t="str">
        <f>'PLUS ES Workforce'!K29</f>
        <v>-</v>
      </c>
      <c r="L29" s="695" t="str">
        <f>'PLUS ES Workforce'!L29</f>
        <v>-</v>
      </c>
      <c r="M29" s="696">
        <f>SUM(J29:K29)</f>
        <v>0</v>
      </c>
      <c r="N29" s="372" t="s">
        <v>23</v>
      </c>
      <c r="O29" s="372" t="s">
        <v>23</v>
      </c>
      <c r="P29" s="372" t="s">
        <v>23</v>
      </c>
      <c r="Q29" s="372" t="s">
        <v>23</v>
      </c>
      <c r="R29" s="372" t="s">
        <v>23</v>
      </c>
      <c r="S29" s="372" t="s">
        <v>23</v>
      </c>
      <c r="T29" s="372" t="s">
        <v>23</v>
      </c>
      <c r="U29" s="372" t="s">
        <v>23</v>
      </c>
      <c r="V29" s="372" t="s">
        <v>23</v>
      </c>
      <c r="W29" s="372" t="s">
        <v>23</v>
      </c>
      <c r="X29" s="372" t="s">
        <v>23</v>
      </c>
      <c r="Y29" s="372" t="s">
        <v>23</v>
      </c>
      <c r="Z29" s="372" t="s">
        <v>23</v>
      </c>
      <c r="AA29" s="372" t="s">
        <v>23</v>
      </c>
      <c r="AB29" s="372" t="s">
        <v>23</v>
      </c>
      <c r="AC29" s="372" t="s">
        <v>23</v>
      </c>
      <c r="AD29" s="372" t="s">
        <v>23</v>
      </c>
      <c r="AE29" s="372" t="s">
        <v>23</v>
      </c>
    </row>
    <row r="30" spans="2:31" ht="26.85" customHeight="1" x14ac:dyDescent="0.25">
      <c r="B30" s="345" t="s">
        <v>112</v>
      </c>
      <c r="C30" s="345"/>
      <c r="D30" s="193" t="s">
        <v>25</v>
      </c>
      <c r="E30" s="193"/>
      <c r="F30" s="760" t="str">
        <f>'PLUS ES Workforce'!F30</f>
        <v>-</v>
      </c>
      <c r="G30" s="760" t="str">
        <f>'PLUS ES Workforce'!G30</f>
        <v>-</v>
      </c>
      <c r="H30" s="760" t="str">
        <f>'PLUS ES Workforce'!H30</f>
        <v>-</v>
      </c>
      <c r="I30" s="766">
        <f>SUM(F30:G30)</f>
        <v>0</v>
      </c>
      <c r="J30" s="695" t="str">
        <f>'PLUS ES Workforce'!J30</f>
        <v>-</v>
      </c>
      <c r="K30" s="695" t="str">
        <f>'PLUS ES Workforce'!K30</f>
        <v>-</v>
      </c>
      <c r="L30" s="695" t="str">
        <f>'PLUS ES Workforce'!L30</f>
        <v>-</v>
      </c>
      <c r="M30" s="696">
        <f>SUM(J30:K30)</f>
        <v>0</v>
      </c>
      <c r="N30" s="372" t="s">
        <v>23</v>
      </c>
      <c r="O30" s="372" t="s">
        <v>23</v>
      </c>
      <c r="P30" s="372" t="s">
        <v>23</v>
      </c>
      <c r="Q30" s="372" t="s">
        <v>23</v>
      </c>
      <c r="R30" s="372" t="s">
        <v>23</v>
      </c>
      <c r="S30" s="372" t="s">
        <v>23</v>
      </c>
      <c r="T30" s="372" t="s">
        <v>23</v>
      </c>
      <c r="U30" s="372" t="s">
        <v>23</v>
      </c>
      <c r="V30" s="372" t="s">
        <v>23</v>
      </c>
      <c r="W30" s="372" t="s">
        <v>23</v>
      </c>
      <c r="X30" s="372" t="s">
        <v>23</v>
      </c>
      <c r="Y30" s="372" t="s">
        <v>23</v>
      </c>
      <c r="Z30" s="372" t="s">
        <v>23</v>
      </c>
      <c r="AA30" s="372" t="s">
        <v>23</v>
      </c>
      <c r="AB30" s="372" t="s">
        <v>23</v>
      </c>
      <c r="AC30" s="372" t="s">
        <v>23</v>
      </c>
      <c r="AD30" s="372" t="s">
        <v>23</v>
      </c>
      <c r="AE30" s="372" t="s">
        <v>23</v>
      </c>
    </row>
    <row r="31" spans="2:31" ht="26.85" customHeight="1" x14ac:dyDescent="0.25">
      <c r="B31" s="345" t="s">
        <v>113</v>
      </c>
      <c r="C31" s="345"/>
      <c r="D31" s="193" t="s">
        <v>25</v>
      </c>
      <c r="E31" s="193"/>
      <c r="F31" s="750" t="s">
        <v>23</v>
      </c>
      <c r="G31" s="750" t="s">
        <v>23</v>
      </c>
      <c r="H31" s="750" t="s">
        <v>23</v>
      </c>
      <c r="I31" s="750" t="s">
        <v>23</v>
      </c>
      <c r="J31" s="697" t="s">
        <v>23</v>
      </c>
      <c r="K31" s="697" t="s">
        <v>23</v>
      </c>
      <c r="L31" s="697" t="s">
        <v>23</v>
      </c>
      <c r="M31" s="697" t="s">
        <v>23</v>
      </c>
      <c r="N31" s="372" t="s">
        <v>23</v>
      </c>
      <c r="O31" s="372" t="s">
        <v>23</v>
      </c>
      <c r="P31" s="372" t="s">
        <v>23</v>
      </c>
      <c r="Q31" s="372" t="s">
        <v>23</v>
      </c>
      <c r="R31" s="372" t="s">
        <v>23</v>
      </c>
      <c r="S31" s="372" t="s">
        <v>23</v>
      </c>
      <c r="T31" s="372" t="s">
        <v>23</v>
      </c>
      <c r="U31" s="372" t="s">
        <v>23</v>
      </c>
      <c r="V31" s="372" t="s">
        <v>23</v>
      </c>
      <c r="W31" s="372" t="s">
        <v>23</v>
      </c>
      <c r="X31" s="372" t="s">
        <v>23</v>
      </c>
      <c r="Y31" s="372" t="s">
        <v>23</v>
      </c>
      <c r="Z31" s="372" t="s">
        <v>23</v>
      </c>
      <c r="AA31" s="372" t="s">
        <v>23</v>
      </c>
      <c r="AB31" s="372" t="s">
        <v>23</v>
      </c>
      <c r="AC31" s="372" t="s">
        <v>23</v>
      </c>
      <c r="AD31" s="372" t="s">
        <v>23</v>
      </c>
      <c r="AE31" s="372" t="s">
        <v>23</v>
      </c>
    </row>
    <row r="32" spans="2:31" ht="26.85" customHeight="1" x14ac:dyDescent="0.25">
      <c r="B32" s="345" t="s">
        <v>102</v>
      </c>
      <c r="C32" s="345"/>
      <c r="D32" s="193" t="s">
        <v>25</v>
      </c>
      <c r="E32" s="193"/>
      <c r="F32" s="760">
        <f>SUM(F26:F31)</f>
        <v>66</v>
      </c>
      <c r="G32" s="760">
        <f>SUM(G26:G31)</f>
        <v>13</v>
      </c>
      <c r="H32" s="760" t="str">
        <f>H31</f>
        <v>-</v>
      </c>
      <c r="I32" s="766">
        <f>SUM(F32:H32)</f>
        <v>79</v>
      </c>
      <c r="J32" s="695">
        <f>SUM(J26:J31)</f>
        <v>64</v>
      </c>
      <c r="K32" s="695">
        <f>SUM(K26:K31)</f>
        <v>11</v>
      </c>
      <c r="L32" s="695" t="str">
        <f>L31</f>
        <v>-</v>
      </c>
      <c r="M32" s="696">
        <f>SUM(J32:L32)</f>
        <v>75</v>
      </c>
      <c r="N32" s="191">
        <f>SUM(N26:N28)</f>
        <v>66</v>
      </c>
      <c r="O32" s="191">
        <f>SUM(O26:O28)</f>
        <v>14</v>
      </c>
      <c r="P32" s="191">
        <f>SUM(P26:P28)</f>
        <v>80</v>
      </c>
      <c r="Q32" s="372" t="s">
        <v>23</v>
      </c>
      <c r="R32" s="372" t="s">
        <v>23</v>
      </c>
      <c r="S32" s="372" t="s">
        <v>23</v>
      </c>
      <c r="T32" s="372" t="s">
        <v>23</v>
      </c>
      <c r="U32" s="372" t="s">
        <v>23</v>
      </c>
      <c r="V32" s="372" t="s">
        <v>23</v>
      </c>
      <c r="W32" s="372" t="s">
        <v>23</v>
      </c>
      <c r="X32" s="372" t="s">
        <v>23</v>
      </c>
      <c r="Y32" s="372" t="s">
        <v>23</v>
      </c>
      <c r="Z32" s="372" t="s">
        <v>23</v>
      </c>
      <c r="AA32" s="372" t="s">
        <v>23</v>
      </c>
      <c r="AB32" s="372" t="s">
        <v>23</v>
      </c>
      <c r="AC32" s="372" t="s">
        <v>23</v>
      </c>
      <c r="AD32" s="372" t="s">
        <v>23</v>
      </c>
      <c r="AE32" s="372" t="s">
        <v>23</v>
      </c>
    </row>
    <row r="33" spans="2:31" ht="26.85" customHeight="1" x14ac:dyDescent="0.25">
      <c r="B33" s="231" t="s">
        <v>102</v>
      </c>
      <c r="C33" s="231"/>
      <c r="D33" s="193" t="s">
        <v>25</v>
      </c>
      <c r="E33" s="193"/>
      <c r="F33" s="750">
        <f t="shared" ref="F33:P33" si="12">SUM(F25,F17)</f>
        <v>0.20238843494657449</v>
      </c>
      <c r="G33" s="750">
        <f t="shared" si="12"/>
        <v>0.79572595851665617</v>
      </c>
      <c r="H33" s="750">
        <f t="shared" si="12"/>
        <v>1.8856065367693275E-3</v>
      </c>
      <c r="I33" s="750">
        <f t="shared" si="12"/>
        <v>1</v>
      </c>
      <c r="J33" s="697">
        <f t="shared" si="12"/>
        <v>0.19254259080681452</v>
      </c>
      <c r="K33" s="697">
        <f t="shared" si="12"/>
        <v>0.80552876888460301</v>
      </c>
      <c r="L33" s="697">
        <f t="shared" si="12"/>
        <v>1.9286403085824494E-3</v>
      </c>
      <c r="M33" s="697">
        <f t="shared" si="12"/>
        <v>1</v>
      </c>
      <c r="N33" s="381">
        <f t="shared" si="12"/>
        <v>0.18266978922716628</v>
      </c>
      <c r="O33" s="381">
        <f t="shared" si="12"/>
        <v>0.81733021077283374</v>
      </c>
      <c r="P33" s="382">
        <f t="shared" si="12"/>
        <v>1</v>
      </c>
      <c r="Q33" s="372" t="s">
        <v>23</v>
      </c>
      <c r="R33" s="372" t="s">
        <v>23</v>
      </c>
      <c r="S33" s="372" t="s">
        <v>23</v>
      </c>
      <c r="T33" s="372" t="s">
        <v>23</v>
      </c>
      <c r="U33" s="372" t="s">
        <v>23</v>
      </c>
      <c r="V33" s="372" t="s">
        <v>23</v>
      </c>
      <c r="W33" s="372" t="s">
        <v>23</v>
      </c>
      <c r="X33" s="372" t="s">
        <v>23</v>
      </c>
      <c r="Y33" s="372" t="s">
        <v>23</v>
      </c>
      <c r="Z33" s="372" t="s">
        <v>23</v>
      </c>
      <c r="AA33" s="372" t="s">
        <v>23</v>
      </c>
      <c r="AB33" s="372" t="s">
        <v>23</v>
      </c>
      <c r="AC33" s="372" t="s">
        <v>23</v>
      </c>
      <c r="AD33" s="372" t="s">
        <v>23</v>
      </c>
      <c r="AE33" s="372" t="s">
        <v>23</v>
      </c>
    </row>
    <row r="34" spans="2:31" ht="26.85" customHeight="1" x14ac:dyDescent="0.25">
      <c r="B34" s="246" t="s">
        <v>115</v>
      </c>
      <c r="C34" s="231"/>
      <c r="D34" s="193" t="s">
        <v>31</v>
      </c>
      <c r="E34" s="193"/>
      <c r="F34" s="458">
        <v>0</v>
      </c>
      <c r="G34" s="458">
        <v>0</v>
      </c>
      <c r="H34" s="458">
        <v>0</v>
      </c>
      <c r="I34" s="504">
        <v>0</v>
      </c>
      <c r="J34" s="694">
        <v>0</v>
      </c>
      <c r="K34" s="694">
        <v>0</v>
      </c>
      <c r="L34" s="694">
        <v>0</v>
      </c>
      <c r="M34" s="693">
        <v>0</v>
      </c>
      <c r="N34" s="230">
        <f>SUM(K34:M34)</f>
        <v>0</v>
      </c>
      <c r="O34" s="230">
        <f>SUM(M34:N34)</f>
        <v>0</v>
      </c>
      <c r="P34" s="230">
        <f>SUM(N34:O34)</f>
        <v>0</v>
      </c>
      <c r="Q34" s="372" t="s">
        <v>23</v>
      </c>
      <c r="R34" s="372" t="s">
        <v>23</v>
      </c>
      <c r="S34" s="372" t="s">
        <v>23</v>
      </c>
      <c r="T34" s="372" t="s">
        <v>23</v>
      </c>
      <c r="U34" s="372" t="s">
        <v>23</v>
      </c>
      <c r="V34" s="372" t="s">
        <v>23</v>
      </c>
      <c r="W34" s="372" t="s">
        <v>23</v>
      </c>
      <c r="X34" s="372" t="s">
        <v>23</v>
      </c>
      <c r="Y34" s="372" t="s">
        <v>23</v>
      </c>
      <c r="Z34" s="372" t="s">
        <v>23</v>
      </c>
      <c r="AA34" s="372" t="s">
        <v>23</v>
      </c>
      <c r="AB34" s="372" t="s">
        <v>23</v>
      </c>
      <c r="AC34" s="372" t="s">
        <v>23</v>
      </c>
      <c r="AD34" s="372" t="s">
        <v>23</v>
      </c>
      <c r="AE34" s="372" t="s">
        <v>23</v>
      </c>
    </row>
    <row r="35" spans="2:31" ht="26.85" customHeight="1" x14ac:dyDescent="0.25">
      <c r="B35" s="345" t="s">
        <v>108</v>
      </c>
      <c r="C35" s="345"/>
      <c r="D35" s="193" t="s">
        <v>25</v>
      </c>
      <c r="E35" s="193"/>
      <c r="F35" s="456">
        <v>0</v>
      </c>
      <c r="G35" s="456">
        <v>0</v>
      </c>
      <c r="H35" s="456" t="s">
        <v>23</v>
      </c>
      <c r="I35" s="456">
        <v>0</v>
      </c>
      <c r="J35" s="689">
        <f>SUM('Ausgrid Workforce'!J30,'PLUS ES Workforce'!J34)</f>
        <v>0</v>
      </c>
      <c r="K35" s="689">
        <f>SUM('Ausgrid Workforce'!K30,'PLUS ES Workforce'!K34)</f>
        <v>0</v>
      </c>
      <c r="L35" s="689" t="s">
        <v>23</v>
      </c>
      <c r="M35" s="689">
        <f t="shared" ref="M35:M39" si="13">SUM(J35:K35)</f>
        <v>0</v>
      </c>
      <c r="N35" s="373">
        <v>0</v>
      </c>
      <c r="O35" s="373">
        <v>0</v>
      </c>
      <c r="P35" s="232">
        <v>0</v>
      </c>
      <c r="Q35" s="372" t="s">
        <v>23</v>
      </c>
      <c r="R35" s="372" t="s">
        <v>23</v>
      </c>
      <c r="S35" s="372" t="s">
        <v>23</v>
      </c>
      <c r="T35" s="372" t="s">
        <v>23</v>
      </c>
      <c r="U35" s="372" t="s">
        <v>23</v>
      </c>
      <c r="V35" s="372" t="s">
        <v>23</v>
      </c>
      <c r="W35" s="372" t="s">
        <v>23</v>
      </c>
      <c r="X35" s="372" t="s">
        <v>23</v>
      </c>
      <c r="Y35" s="372" t="s">
        <v>23</v>
      </c>
      <c r="Z35" s="372" t="s">
        <v>23</v>
      </c>
      <c r="AA35" s="372" t="s">
        <v>23</v>
      </c>
      <c r="AB35" s="372" t="s">
        <v>23</v>
      </c>
      <c r="AC35" s="372" t="s">
        <v>23</v>
      </c>
      <c r="AD35" s="372" t="s">
        <v>23</v>
      </c>
      <c r="AE35" s="372" t="s">
        <v>23</v>
      </c>
    </row>
    <row r="36" spans="2:31" ht="26.85" customHeight="1" x14ac:dyDescent="0.25">
      <c r="B36" s="345" t="s">
        <v>109</v>
      </c>
      <c r="C36" s="345"/>
      <c r="D36" s="193" t="s">
        <v>25</v>
      </c>
      <c r="E36" s="193"/>
      <c r="F36" s="456">
        <v>0</v>
      </c>
      <c r="G36" s="456">
        <v>0</v>
      </c>
      <c r="H36" s="456" t="s">
        <v>23</v>
      </c>
      <c r="I36" s="456">
        <v>0</v>
      </c>
      <c r="J36" s="689">
        <f>SUM('Ausgrid Workforce'!J31,'PLUS ES Workforce'!J35)</f>
        <v>0</v>
      </c>
      <c r="K36" s="689">
        <f>SUM('Ausgrid Workforce'!K31,'PLUS ES Workforce'!K35)</f>
        <v>0</v>
      </c>
      <c r="L36" s="689" t="s">
        <v>23</v>
      </c>
      <c r="M36" s="689">
        <f t="shared" si="13"/>
        <v>0</v>
      </c>
      <c r="N36" s="373">
        <v>0</v>
      </c>
      <c r="O36" s="373">
        <v>0</v>
      </c>
      <c r="P36" s="373">
        <v>0</v>
      </c>
      <c r="Q36" s="372" t="s">
        <v>23</v>
      </c>
      <c r="R36" s="372" t="s">
        <v>23</v>
      </c>
      <c r="S36" s="372" t="s">
        <v>23</v>
      </c>
      <c r="T36" s="372" t="s">
        <v>23</v>
      </c>
      <c r="U36" s="372" t="s">
        <v>23</v>
      </c>
      <c r="V36" s="372" t="s">
        <v>23</v>
      </c>
      <c r="W36" s="372" t="s">
        <v>23</v>
      </c>
      <c r="X36" s="372" t="s">
        <v>23</v>
      </c>
      <c r="Y36" s="372" t="s">
        <v>23</v>
      </c>
      <c r="Z36" s="372" t="s">
        <v>23</v>
      </c>
      <c r="AA36" s="372" t="s">
        <v>23</v>
      </c>
      <c r="AB36" s="372" t="s">
        <v>23</v>
      </c>
      <c r="AC36" s="372" t="s">
        <v>23</v>
      </c>
      <c r="AD36" s="372" t="s">
        <v>23</v>
      </c>
      <c r="AE36" s="372" t="s">
        <v>23</v>
      </c>
    </row>
    <row r="37" spans="2:31" ht="26.85" customHeight="1" x14ac:dyDescent="0.25">
      <c r="B37" s="345" t="s">
        <v>110</v>
      </c>
      <c r="C37" s="345"/>
      <c r="D37" s="193" t="s">
        <v>25</v>
      </c>
      <c r="E37" s="193"/>
      <c r="F37" s="456">
        <v>0</v>
      </c>
      <c r="G37" s="456">
        <v>0</v>
      </c>
      <c r="H37" s="456" t="s">
        <v>23</v>
      </c>
      <c r="I37" s="456">
        <v>0</v>
      </c>
      <c r="J37" s="689">
        <f>SUM('Ausgrid Workforce'!J32,'PLUS ES Workforce'!J36)</f>
        <v>0</v>
      </c>
      <c r="K37" s="689">
        <f>SUM('Ausgrid Workforce'!K32,'PLUS ES Workforce'!K36)</f>
        <v>0</v>
      </c>
      <c r="L37" s="689" t="s">
        <v>23</v>
      </c>
      <c r="M37" s="689">
        <f t="shared" si="13"/>
        <v>0</v>
      </c>
      <c r="N37" s="373">
        <v>0</v>
      </c>
      <c r="O37" s="373">
        <v>0</v>
      </c>
      <c r="P37" s="373">
        <v>0</v>
      </c>
      <c r="Q37" s="372" t="s">
        <v>23</v>
      </c>
      <c r="R37" s="372" t="s">
        <v>23</v>
      </c>
      <c r="S37" s="372" t="s">
        <v>23</v>
      </c>
      <c r="T37" s="372" t="s">
        <v>23</v>
      </c>
      <c r="U37" s="372" t="s">
        <v>23</v>
      </c>
      <c r="V37" s="372" t="s">
        <v>23</v>
      </c>
      <c r="W37" s="372" t="s">
        <v>23</v>
      </c>
      <c r="X37" s="372" t="s">
        <v>23</v>
      </c>
      <c r="Y37" s="372" t="s">
        <v>23</v>
      </c>
      <c r="Z37" s="372" t="s">
        <v>23</v>
      </c>
      <c r="AA37" s="372" t="s">
        <v>23</v>
      </c>
      <c r="AB37" s="372" t="s">
        <v>23</v>
      </c>
      <c r="AC37" s="372" t="s">
        <v>23</v>
      </c>
      <c r="AD37" s="372" t="s">
        <v>23</v>
      </c>
      <c r="AE37" s="372" t="s">
        <v>23</v>
      </c>
    </row>
    <row r="38" spans="2:31" ht="26.85" customHeight="1" x14ac:dyDescent="0.25">
      <c r="B38" s="345" t="s">
        <v>111</v>
      </c>
      <c r="C38" s="345"/>
      <c r="D38" s="193" t="s">
        <v>25</v>
      </c>
      <c r="E38" s="193"/>
      <c r="F38" s="767" t="s">
        <v>23</v>
      </c>
      <c r="G38" s="767" t="s">
        <v>23</v>
      </c>
      <c r="H38" s="456" t="s">
        <v>23</v>
      </c>
      <c r="I38" s="456">
        <v>0</v>
      </c>
      <c r="J38" s="698" t="str">
        <f>'PLUS ES Workforce'!J37</f>
        <v>-</v>
      </c>
      <c r="K38" s="698" t="str">
        <f>'PLUS ES Workforce'!K37</f>
        <v>-</v>
      </c>
      <c r="L38" s="689" t="s">
        <v>23</v>
      </c>
      <c r="M38" s="689">
        <f t="shared" si="13"/>
        <v>0</v>
      </c>
      <c r="N38" s="372" t="s">
        <v>23</v>
      </c>
      <c r="O38" s="372" t="s">
        <v>23</v>
      </c>
      <c r="P38" s="372" t="s">
        <v>23</v>
      </c>
      <c r="Q38" s="372" t="s">
        <v>23</v>
      </c>
      <c r="R38" s="372" t="s">
        <v>23</v>
      </c>
      <c r="S38" s="372" t="s">
        <v>23</v>
      </c>
      <c r="T38" s="372" t="s">
        <v>23</v>
      </c>
      <c r="U38" s="372" t="s">
        <v>23</v>
      </c>
      <c r="V38" s="372" t="s">
        <v>23</v>
      </c>
      <c r="W38" s="372" t="s">
        <v>23</v>
      </c>
      <c r="X38" s="372" t="s">
        <v>23</v>
      </c>
      <c r="Y38" s="372" t="s">
        <v>23</v>
      </c>
      <c r="Z38" s="372" t="s">
        <v>23</v>
      </c>
      <c r="AA38" s="372" t="s">
        <v>23</v>
      </c>
      <c r="AB38" s="372" t="s">
        <v>23</v>
      </c>
      <c r="AC38" s="372" t="s">
        <v>23</v>
      </c>
      <c r="AD38" s="372" t="s">
        <v>23</v>
      </c>
      <c r="AE38" s="372" t="s">
        <v>23</v>
      </c>
    </row>
    <row r="39" spans="2:31" ht="26.85" customHeight="1" x14ac:dyDescent="0.25">
      <c r="B39" s="345" t="s">
        <v>112</v>
      </c>
      <c r="C39" s="345"/>
      <c r="D39" s="193" t="s">
        <v>25</v>
      </c>
      <c r="E39" s="193"/>
      <c r="F39" s="767" t="s">
        <v>23</v>
      </c>
      <c r="G39" s="767" t="s">
        <v>23</v>
      </c>
      <c r="H39" s="456" t="s">
        <v>23</v>
      </c>
      <c r="I39" s="456">
        <v>0</v>
      </c>
      <c r="J39" s="698" t="str">
        <f>'PLUS ES Workforce'!J38</f>
        <v>-</v>
      </c>
      <c r="K39" s="698" t="str">
        <f>'PLUS ES Workforce'!K38</f>
        <v>-</v>
      </c>
      <c r="L39" s="689" t="s">
        <v>23</v>
      </c>
      <c r="M39" s="689">
        <f t="shared" si="13"/>
        <v>0</v>
      </c>
      <c r="N39" s="372" t="s">
        <v>23</v>
      </c>
      <c r="O39" s="372" t="s">
        <v>23</v>
      </c>
      <c r="P39" s="372" t="s">
        <v>23</v>
      </c>
      <c r="Q39" s="372" t="s">
        <v>23</v>
      </c>
      <c r="R39" s="372" t="s">
        <v>23</v>
      </c>
      <c r="S39" s="372" t="s">
        <v>23</v>
      </c>
      <c r="T39" s="372" t="s">
        <v>23</v>
      </c>
      <c r="U39" s="372" t="s">
        <v>23</v>
      </c>
      <c r="V39" s="372" t="s">
        <v>23</v>
      </c>
      <c r="W39" s="372" t="s">
        <v>23</v>
      </c>
      <c r="X39" s="372" t="s">
        <v>23</v>
      </c>
      <c r="Y39" s="372" t="s">
        <v>23</v>
      </c>
      <c r="Z39" s="372" t="s">
        <v>23</v>
      </c>
      <c r="AA39" s="372" t="s">
        <v>23</v>
      </c>
      <c r="AB39" s="372" t="s">
        <v>23</v>
      </c>
      <c r="AC39" s="372" t="s">
        <v>23</v>
      </c>
      <c r="AD39" s="372" t="s">
        <v>23</v>
      </c>
      <c r="AE39" s="372" t="s">
        <v>23</v>
      </c>
    </row>
    <row r="40" spans="2:31" ht="26.85" customHeight="1" x14ac:dyDescent="0.25">
      <c r="B40" s="368" t="s">
        <v>116</v>
      </c>
      <c r="C40" s="494"/>
      <c r="D40" s="10"/>
      <c r="E40" s="10"/>
      <c r="F40" s="495"/>
      <c r="G40" s="495"/>
      <c r="H40" s="496"/>
      <c r="I40" s="473"/>
      <c r="J40" s="495"/>
      <c r="K40" s="495"/>
      <c r="L40" s="496"/>
      <c r="M40" s="473"/>
      <c r="N40" s="379"/>
      <c r="O40" s="379"/>
      <c r="P40" s="379"/>
      <c r="Q40" s="379"/>
      <c r="R40" s="379"/>
      <c r="S40" s="379"/>
      <c r="T40" s="379"/>
      <c r="U40" s="379"/>
      <c r="V40" s="379"/>
      <c r="W40" s="379"/>
      <c r="X40" s="379"/>
      <c r="Y40" s="379"/>
      <c r="Z40" s="379"/>
      <c r="AA40" s="379"/>
      <c r="AB40" s="379"/>
      <c r="AC40" s="379"/>
      <c r="AD40" s="379"/>
      <c r="AE40" s="379"/>
    </row>
    <row r="41" spans="2:31" ht="47.85" customHeight="1" x14ac:dyDescent="0.2">
      <c r="B41" s="10"/>
      <c r="C41" s="10"/>
      <c r="D41" s="10"/>
      <c r="E41" s="10"/>
      <c r="F41" s="271"/>
      <c r="G41" s="271"/>
      <c r="H41" s="271"/>
      <c r="I41" s="43"/>
      <c r="J41" s="271"/>
      <c r="K41" s="271"/>
      <c r="L41" s="271"/>
      <c r="M41" s="43"/>
      <c r="N41" s="447"/>
      <c r="O41" s="12"/>
      <c r="P41" s="448"/>
      <c r="Q41" s="283"/>
      <c r="R41" s="283"/>
      <c r="S41" s="284"/>
      <c r="T41" s="283"/>
      <c r="U41" s="283"/>
      <c r="V41" s="283"/>
      <c r="W41" s="283"/>
      <c r="X41" s="283"/>
      <c r="Y41" s="283"/>
      <c r="Z41" s="283"/>
      <c r="AA41" s="283"/>
      <c r="AB41" s="283"/>
      <c r="AC41" s="283"/>
      <c r="AD41" s="283"/>
      <c r="AE41" s="283"/>
    </row>
    <row r="42" spans="2:31" ht="26.85" customHeight="1" x14ac:dyDescent="0.2">
      <c r="B42" s="6" t="s">
        <v>117</v>
      </c>
      <c r="C42" s="6"/>
      <c r="D42" s="7" t="s">
        <v>9</v>
      </c>
      <c r="E42" s="7"/>
      <c r="F42" s="930" t="s">
        <v>10</v>
      </c>
      <c r="G42" s="930"/>
      <c r="H42" s="930"/>
      <c r="I42" s="930"/>
      <c r="J42" s="930" t="s">
        <v>11</v>
      </c>
      <c r="K42" s="930"/>
      <c r="L42" s="930"/>
      <c r="M42" s="930"/>
      <c r="N42" s="920" t="s">
        <v>12</v>
      </c>
      <c r="O42" s="920"/>
      <c r="P42" s="920"/>
      <c r="Q42" s="920" t="s">
        <v>13</v>
      </c>
      <c r="R42" s="920"/>
      <c r="S42" s="920"/>
      <c r="T42" s="920" t="s">
        <v>14</v>
      </c>
      <c r="U42" s="920"/>
      <c r="V42" s="920"/>
      <c r="W42" s="920" t="s">
        <v>15</v>
      </c>
      <c r="X42" s="920"/>
      <c r="Y42" s="920"/>
      <c r="Z42" s="920" t="s">
        <v>16</v>
      </c>
      <c r="AA42" s="920"/>
      <c r="AB42" s="920"/>
      <c r="AC42" s="920" t="s">
        <v>17</v>
      </c>
      <c r="AD42" s="920"/>
      <c r="AE42" s="920"/>
    </row>
    <row r="43" spans="2:31" ht="26.85" customHeight="1" x14ac:dyDescent="0.25">
      <c r="B43" s="193" t="s">
        <v>118</v>
      </c>
      <c r="C43" s="188"/>
      <c r="D43" s="180" t="s">
        <v>25</v>
      </c>
      <c r="E43" s="180"/>
      <c r="F43" s="456">
        <f>SUM('Ausgrid Workforce'!F38,'PLUS ES Workforce'!F44)</f>
        <v>584</v>
      </c>
      <c r="G43" s="756">
        <f>SUM('Ausgrid Workforce'!G38,'PLUS ES Workforce'!G44)</f>
        <v>1328</v>
      </c>
      <c r="H43" s="456">
        <f>SUM('Ausgrid Workforce'!H38,'PLUS ES Workforce'!H44)</f>
        <v>4</v>
      </c>
      <c r="I43" s="756">
        <f>SUM(F43:H43)</f>
        <v>1916</v>
      </c>
      <c r="J43" s="699">
        <f>SUM('Ausgrid Workforce'!J38,'PLUS ES Workforce'!J44)</f>
        <v>552</v>
      </c>
      <c r="K43" s="700">
        <f>SUM('Ausgrid Workforce'!K38,'PLUS ES Workforce'!K44)</f>
        <v>1315</v>
      </c>
      <c r="L43" s="699">
        <f>SUM('Ausgrid Workforce'!L38,'PLUS ES Workforce'!L44)</f>
        <v>5</v>
      </c>
      <c r="M43" s="700">
        <f>SUM(J43:L43)</f>
        <v>1872</v>
      </c>
      <c r="N43" s="372" t="s">
        <v>23</v>
      </c>
      <c r="O43" s="372" t="s">
        <v>23</v>
      </c>
      <c r="P43" s="372" t="s">
        <v>23</v>
      </c>
      <c r="Q43" s="372" t="s">
        <v>23</v>
      </c>
      <c r="R43" s="372" t="s">
        <v>23</v>
      </c>
      <c r="S43" s="372" t="s">
        <v>23</v>
      </c>
      <c r="T43" s="372" t="s">
        <v>23</v>
      </c>
      <c r="U43" s="372" t="s">
        <v>23</v>
      </c>
      <c r="V43" s="372" t="s">
        <v>23</v>
      </c>
      <c r="W43" s="372" t="s">
        <v>23</v>
      </c>
      <c r="X43" s="372" t="s">
        <v>23</v>
      </c>
      <c r="Y43" s="372" t="s">
        <v>23</v>
      </c>
      <c r="Z43" s="372" t="s">
        <v>23</v>
      </c>
      <c r="AA43" s="372" t="s">
        <v>23</v>
      </c>
      <c r="AB43" s="372" t="s">
        <v>23</v>
      </c>
      <c r="AC43" s="372" t="s">
        <v>23</v>
      </c>
      <c r="AD43" s="372" t="s">
        <v>23</v>
      </c>
      <c r="AE43" s="372" t="s">
        <v>23</v>
      </c>
    </row>
    <row r="44" spans="2:31" ht="26.85" customHeight="1" x14ac:dyDescent="0.25">
      <c r="B44" s="193" t="s">
        <v>119</v>
      </c>
      <c r="C44" s="188"/>
      <c r="D44" s="180" t="s">
        <v>25</v>
      </c>
      <c r="E44" s="180"/>
      <c r="F44" s="456">
        <f>SUM('Ausgrid Workforce'!F39,'PLUS ES Workforce'!F45)</f>
        <v>60</v>
      </c>
      <c r="G44" s="756">
        <f>SUM('Ausgrid Workforce'!G39,'PLUS ES Workforce'!G45)</f>
        <v>1204</v>
      </c>
      <c r="H44" s="456">
        <f>SUM('Ausgrid Workforce'!H39,'PLUS ES Workforce'!H45)</f>
        <v>2</v>
      </c>
      <c r="I44" s="756">
        <f>SUM(F44:H44)</f>
        <v>1266</v>
      </c>
      <c r="J44" s="699">
        <f>SUM('Ausgrid Workforce'!J39,'PLUS ES Workforce'!J45)</f>
        <v>47</v>
      </c>
      <c r="K44" s="700">
        <f>SUM('Ausgrid Workforce'!K39,'PLUS ES Workforce'!K45)</f>
        <v>1191</v>
      </c>
      <c r="L44" s="699">
        <f>SUM('Ausgrid Workforce'!L39,'PLUS ES Workforce'!L45)</f>
        <v>1</v>
      </c>
      <c r="M44" s="700">
        <f>SUM(J44:L44)</f>
        <v>1239</v>
      </c>
      <c r="N44" s="372" t="s">
        <v>23</v>
      </c>
      <c r="O44" s="372" t="s">
        <v>23</v>
      </c>
      <c r="P44" s="372" t="s">
        <v>23</v>
      </c>
      <c r="Q44" s="372" t="s">
        <v>23</v>
      </c>
      <c r="R44" s="372" t="s">
        <v>23</v>
      </c>
      <c r="S44" s="372" t="s">
        <v>23</v>
      </c>
      <c r="T44" s="372" t="s">
        <v>23</v>
      </c>
      <c r="U44" s="372" t="s">
        <v>23</v>
      </c>
      <c r="V44" s="372" t="s">
        <v>23</v>
      </c>
      <c r="W44" s="372" t="s">
        <v>23</v>
      </c>
      <c r="X44" s="372" t="s">
        <v>23</v>
      </c>
      <c r="Y44" s="372" t="s">
        <v>23</v>
      </c>
      <c r="Z44" s="372" t="s">
        <v>23</v>
      </c>
      <c r="AA44" s="372" t="s">
        <v>23</v>
      </c>
      <c r="AB44" s="372" t="s">
        <v>23</v>
      </c>
      <c r="AC44" s="372" t="s">
        <v>23</v>
      </c>
      <c r="AD44" s="372" t="s">
        <v>23</v>
      </c>
      <c r="AE44" s="372" t="s">
        <v>23</v>
      </c>
    </row>
    <row r="45" spans="2:31" ht="50.1" customHeight="1" x14ac:dyDescent="0.2">
      <c r="B45" s="180"/>
      <c r="C45" s="180"/>
      <c r="D45" s="180"/>
      <c r="E45" s="180"/>
      <c r="F45" s="262"/>
      <c r="G45" s="262"/>
      <c r="H45" s="262"/>
      <c r="I45" s="262"/>
      <c r="J45" s="262"/>
      <c r="K45" s="262"/>
      <c r="L45" s="262"/>
      <c r="M45" s="262"/>
      <c r="N45" s="185"/>
      <c r="O45" s="185"/>
      <c r="P45" s="185"/>
      <c r="Q45" s="185"/>
      <c r="R45" s="185"/>
      <c r="S45" s="185"/>
      <c r="T45" s="185"/>
      <c r="U45" s="185"/>
      <c r="V45" s="185"/>
      <c r="W45" s="185"/>
      <c r="X45" s="185"/>
      <c r="Y45" s="185"/>
      <c r="Z45" s="185"/>
      <c r="AA45" s="185"/>
      <c r="AB45" s="185"/>
      <c r="AC45" s="185"/>
      <c r="AD45" s="185"/>
      <c r="AE45" s="185"/>
    </row>
    <row r="46" spans="2:31" ht="26.85" customHeight="1" x14ac:dyDescent="0.35">
      <c r="B46" s="6" t="s">
        <v>120</v>
      </c>
      <c r="C46" s="305"/>
      <c r="D46" s="7" t="s">
        <v>9</v>
      </c>
      <c r="E46" s="306"/>
      <c r="F46" s="930" t="s">
        <v>10</v>
      </c>
      <c r="G46" s="930"/>
      <c r="H46" s="930"/>
      <c r="I46" s="930"/>
      <c r="J46" s="930" t="s">
        <v>11</v>
      </c>
      <c r="K46" s="930"/>
      <c r="L46" s="930"/>
      <c r="M46" s="930"/>
      <c r="N46" s="920" t="s">
        <v>12</v>
      </c>
      <c r="O46" s="920"/>
      <c r="P46" s="920"/>
      <c r="Q46" s="920" t="s">
        <v>13</v>
      </c>
      <c r="R46" s="920"/>
      <c r="S46" s="920"/>
      <c r="T46" s="920" t="s">
        <v>14</v>
      </c>
      <c r="U46" s="920"/>
      <c r="V46" s="920"/>
      <c r="W46" s="920" t="s">
        <v>15</v>
      </c>
      <c r="X46" s="920"/>
      <c r="Y46" s="920"/>
      <c r="Z46" s="920" t="s">
        <v>16</v>
      </c>
      <c r="AA46" s="920"/>
      <c r="AB46" s="920"/>
      <c r="AC46" s="920" t="s">
        <v>17</v>
      </c>
      <c r="AD46" s="920"/>
      <c r="AE46" s="920"/>
    </row>
    <row r="47" spans="2:31" ht="26.85" customHeight="1" x14ac:dyDescent="0.2">
      <c r="B47" s="547"/>
      <c r="C47" s="547"/>
      <c r="D47" s="193"/>
      <c r="E47" s="193"/>
      <c r="F47" s="532" t="s">
        <v>99</v>
      </c>
      <c r="G47" s="532" t="s">
        <v>100</v>
      </c>
      <c r="H47" s="532" t="s">
        <v>101</v>
      </c>
      <c r="I47" s="532" t="s">
        <v>102</v>
      </c>
      <c r="J47" s="690" t="s">
        <v>99</v>
      </c>
      <c r="K47" s="690" t="s">
        <v>100</v>
      </c>
      <c r="L47" s="690" t="s">
        <v>101</v>
      </c>
      <c r="M47" s="690" t="s">
        <v>102</v>
      </c>
      <c r="N47" s="183" t="s">
        <v>99</v>
      </c>
      <c r="O47" s="183" t="s">
        <v>100</v>
      </c>
      <c r="P47" s="183" t="s">
        <v>102</v>
      </c>
      <c r="Q47" s="183" t="s">
        <v>99</v>
      </c>
      <c r="R47" s="183" t="s">
        <v>100</v>
      </c>
      <c r="S47" s="183" t="s">
        <v>102</v>
      </c>
      <c r="T47" s="183" t="s">
        <v>99</v>
      </c>
      <c r="U47" s="183" t="s">
        <v>100</v>
      </c>
      <c r="V47" s="183" t="s">
        <v>102</v>
      </c>
      <c r="W47" s="183" t="s">
        <v>99</v>
      </c>
      <c r="X47" s="183" t="s">
        <v>100</v>
      </c>
      <c r="Y47" s="183" t="s">
        <v>102</v>
      </c>
      <c r="Z47" s="183" t="s">
        <v>99</v>
      </c>
      <c r="AA47" s="183" t="s">
        <v>100</v>
      </c>
      <c r="AB47" s="183" t="s">
        <v>102</v>
      </c>
      <c r="AC47" s="183" t="s">
        <v>99</v>
      </c>
      <c r="AD47" s="183" t="s">
        <v>100</v>
      </c>
      <c r="AE47" s="183" t="s">
        <v>102</v>
      </c>
    </row>
    <row r="48" spans="2:31" ht="26.85" customHeight="1" x14ac:dyDescent="0.25">
      <c r="B48" s="231" t="s">
        <v>121</v>
      </c>
      <c r="C48" s="231"/>
      <c r="D48" s="193" t="s">
        <v>31</v>
      </c>
      <c r="E48" s="193"/>
      <c r="F48" s="457">
        <f>SUM(F49:F54)/$I$11</f>
        <v>0.17756128221244499</v>
      </c>
      <c r="G48" s="457">
        <f t="shared" ref="G48:I48" si="14">SUM(G49:G54)/$I$11</f>
        <v>0.74984286612193585</v>
      </c>
      <c r="H48" s="457">
        <f t="shared" si="14"/>
        <v>1.8856065367693275E-3</v>
      </c>
      <c r="I48" s="457">
        <f t="shared" si="14"/>
        <v>0.92928975487115018</v>
      </c>
      <c r="J48" s="701">
        <f>SUM(J49:J54)/$M$11</f>
        <v>0.1681131468981035</v>
      </c>
      <c r="K48" s="701">
        <f t="shared" ref="K48" si="15">SUM(K49:K54)/$M$11</f>
        <v>0.76052716168434586</v>
      </c>
      <c r="L48" s="701">
        <f t="shared" ref="L48" si="16">SUM(L49:L54)/$M$11</f>
        <v>1.9286403085824494E-3</v>
      </c>
      <c r="M48" s="694">
        <f t="shared" ref="M48" si="17">SUM(M49:M54)/$M$11</f>
        <v>0.93056894889103181</v>
      </c>
      <c r="N48" s="230">
        <f>N55/P11</f>
        <v>0.1595851455336233</v>
      </c>
      <c r="O48" s="208">
        <f>O55/P11</f>
        <v>0.77316828370692536</v>
      </c>
      <c r="P48" s="208">
        <f>P55/P11</f>
        <v>0.93275342924054871</v>
      </c>
      <c r="Q48" s="372" t="s">
        <v>23</v>
      </c>
      <c r="R48" s="372" t="s">
        <v>23</v>
      </c>
      <c r="S48" s="372" t="s">
        <v>23</v>
      </c>
      <c r="T48" s="372" t="s">
        <v>23</v>
      </c>
      <c r="U48" s="372" t="s">
        <v>23</v>
      </c>
      <c r="V48" s="372" t="s">
        <v>23</v>
      </c>
      <c r="W48" s="372" t="s">
        <v>23</v>
      </c>
      <c r="X48" s="372" t="s">
        <v>23</v>
      </c>
      <c r="Y48" s="372" t="s">
        <v>23</v>
      </c>
      <c r="Z48" s="372" t="s">
        <v>23</v>
      </c>
      <c r="AA48" s="372" t="s">
        <v>23</v>
      </c>
      <c r="AB48" s="372" t="s">
        <v>23</v>
      </c>
      <c r="AC48" s="372" t="s">
        <v>23</v>
      </c>
      <c r="AD48" s="372" t="s">
        <v>23</v>
      </c>
      <c r="AE48" s="372" t="s">
        <v>23</v>
      </c>
    </row>
    <row r="49" spans="1:31" ht="26.85" customHeight="1" x14ac:dyDescent="0.25">
      <c r="B49" s="345" t="s">
        <v>108</v>
      </c>
      <c r="C49" s="345"/>
      <c r="D49" s="193" t="s">
        <v>25</v>
      </c>
      <c r="E49" s="193"/>
      <c r="F49" s="456">
        <f>SUM('Ausgrid Workforce'!F44,'PLUS ES Workforce'!F50)</f>
        <v>215</v>
      </c>
      <c r="G49" s="456">
        <f>SUM('Ausgrid Workforce'!G44,'PLUS ES Workforce'!G50)</f>
        <v>793</v>
      </c>
      <c r="H49" s="456">
        <f>SUM('Ausgrid Workforce'!H44,'PLUS ES Workforce'!H50)</f>
        <v>0</v>
      </c>
      <c r="I49" s="456">
        <f t="shared" ref="I49:I53" si="18">SUM(F49:G49)</f>
        <v>1008</v>
      </c>
      <c r="J49" s="689">
        <f>SUM('Ausgrid Workforce'!J44,'PLUS ES Workforce'!J50)</f>
        <v>203</v>
      </c>
      <c r="K49" s="689">
        <f>SUM('Ausgrid Workforce'!K44,'PLUS ES Workforce'!K50)</f>
        <v>785</v>
      </c>
      <c r="L49" s="689">
        <f>SUM('Ausgrid Workforce'!L44,'PLUS ES Workforce'!L50)</f>
        <v>0</v>
      </c>
      <c r="M49" s="689">
        <f t="shared" ref="M49:M53" si="19">SUM(J49:K49)</f>
        <v>988</v>
      </c>
      <c r="N49" s="192">
        <f>'Ausgrid Workforce'!N44+'PLUS ES Workforce'!N50</f>
        <v>178</v>
      </c>
      <c r="O49" s="192">
        <f>'Ausgrid Workforce'!O44+'PLUS ES Workforce'!O50</f>
        <v>758</v>
      </c>
      <c r="P49" s="192">
        <f>'Ausgrid Workforce'!P44+'PLUS ES Workforce'!P50</f>
        <v>936</v>
      </c>
      <c r="Q49" s="372" t="s">
        <v>23</v>
      </c>
      <c r="R49" s="372" t="s">
        <v>23</v>
      </c>
      <c r="S49" s="372" t="s">
        <v>23</v>
      </c>
      <c r="T49" s="372" t="s">
        <v>23</v>
      </c>
      <c r="U49" s="372" t="s">
        <v>23</v>
      </c>
      <c r="V49" s="372" t="s">
        <v>23</v>
      </c>
      <c r="W49" s="372" t="s">
        <v>23</v>
      </c>
      <c r="X49" s="372" t="s">
        <v>23</v>
      </c>
      <c r="Y49" s="372" t="s">
        <v>23</v>
      </c>
      <c r="Z49" s="372" t="s">
        <v>23</v>
      </c>
      <c r="AA49" s="372" t="s">
        <v>23</v>
      </c>
      <c r="AB49" s="372" t="s">
        <v>23</v>
      </c>
      <c r="AC49" s="372" t="s">
        <v>23</v>
      </c>
      <c r="AD49" s="372" t="s">
        <v>23</v>
      </c>
      <c r="AE49" s="372" t="s">
        <v>23</v>
      </c>
    </row>
    <row r="50" spans="1:31" ht="26.85" customHeight="1" x14ac:dyDescent="0.25">
      <c r="B50" s="345" t="s">
        <v>109</v>
      </c>
      <c r="C50" s="345"/>
      <c r="D50" s="193" t="s">
        <v>25</v>
      </c>
      <c r="E50" s="193"/>
      <c r="F50" s="456">
        <f>SUM('Ausgrid Workforce'!F45,'PLUS ES Workforce'!F51)</f>
        <v>334</v>
      </c>
      <c r="G50" s="756">
        <f>SUM('Ausgrid Workforce'!G45,'PLUS ES Workforce'!G51)</f>
        <v>1578</v>
      </c>
      <c r="H50" s="456">
        <f>SUM('Ausgrid Workforce'!H45,'PLUS ES Workforce'!H51)</f>
        <v>0</v>
      </c>
      <c r="I50" s="756">
        <f t="shared" si="18"/>
        <v>1912</v>
      </c>
      <c r="J50" s="689">
        <f>SUM('Ausgrid Workforce'!J45,'PLUS ES Workforce'!J51)</f>
        <v>305</v>
      </c>
      <c r="K50" s="688">
        <f>SUM('Ausgrid Workforce'!K45,'PLUS ES Workforce'!K51)</f>
        <v>1564</v>
      </c>
      <c r="L50" s="689">
        <f>SUM('Ausgrid Workforce'!L45,'PLUS ES Workforce'!L51)</f>
        <v>0</v>
      </c>
      <c r="M50" s="688">
        <f t="shared" si="19"/>
        <v>1869</v>
      </c>
      <c r="N50" s="192">
        <f>'Ausgrid Workforce'!N45+'PLUS ES Workforce'!N51</f>
        <v>288</v>
      </c>
      <c r="O50" s="192">
        <f>'Ausgrid Workforce'!O45+'PLUS ES Workforce'!O51</f>
        <v>1535</v>
      </c>
      <c r="P50" s="192">
        <f>'Ausgrid Workforce'!P45+'PLUS ES Workforce'!P51</f>
        <v>1823</v>
      </c>
      <c r="Q50" s="372" t="s">
        <v>23</v>
      </c>
      <c r="R50" s="372" t="s">
        <v>23</v>
      </c>
      <c r="S50" s="372" t="s">
        <v>23</v>
      </c>
      <c r="T50" s="372" t="s">
        <v>23</v>
      </c>
      <c r="U50" s="372" t="s">
        <v>23</v>
      </c>
      <c r="V50" s="372" t="s">
        <v>23</v>
      </c>
      <c r="W50" s="372" t="s">
        <v>23</v>
      </c>
      <c r="X50" s="372" t="s">
        <v>23</v>
      </c>
      <c r="Y50" s="372" t="s">
        <v>23</v>
      </c>
      <c r="Z50" s="372" t="s">
        <v>23</v>
      </c>
      <c r="AA50" s="372" t="s">
        <v>23</v>
      </c>
      <c r="AB50" s="372" t="s">
        <v>23</v>
      </c>
      <c r="AC50" s="372" t="s">
        <v>23</v>
      </c>
      <c r="AD50" s="372" t="s">
        <v>23</v>
      </c>
      <c r="AE50" s="372" t="s">
        <v>23</v>
      </c>
    </row>
    <row r="51" spans="1:31" ht="26.85" customHeight="1" x14ac:dyDescent="0.25">
      <c r="B51" s="345" t="s">
        <v>110</v>
      </c>
      <c r="C51" s="345"/>
      <c r="D51" s="193" t="s">
        <v>25</v>
      </c>
      <c r="E51" s="193"/>
      <c r="F51" s="456">
        <f>SUM('Ausgrid Workforce'!F46,'PLUS ES Workforce'!F52)</f>
        <v>16</v>
      </c>
      <c r="G51" s="456">
        <f>SUM('Ausgrid Workforce'!G46,'PLUS ES Workforce'!G52)</f>
        <v>15</v>
      </c>
      <c r="H51" s="456">
        <f>SUM('Ausgrid Workforce'!H46,'PLUS ES Workforce'!H52)</f>
        <v>0</v>
      </c>
      <c r="I51" s="456">
        <f t="shared" si="18"/>
        <v>31</v>
      </c>
      <c r="J51" s="689">
        <f>SUM('Ausgrid Workforce'!J46,'PLUS ES Workforce'!J52)</f>
        <v>15</v>
      </c>
      <c r="K51" s="689">
        <f>SUM('Ausgrid Workforce'!K46,'PLUS ES Workforce'!K52)</f>
        <v>17</v>
      </c>
      <c r="L51" s="689">
        <f>SUM('Ausgrid Workforce'!L46,'PLUS ES Workforce'!L52)</f>
        <v>0</v>
      </c>
      <c r="M51" s="689">
        <f t="shared" si="19"/>
        <v>32</v>
      </c>
      <c r="N51" s="192">
        <f>'Ausgrid Workforce'!N46+'PLUS ES Workforce'!N52</f>
        <v>11</v>
      </c>
      <c r="O51" s="192">
        <f>'Ausgrid Workforce'!O46+'PLUS ES Workforce'!O52</f>
        <v>18</v>
      </c>
      <c r="P51" s="192">
        <f>'Ausgrid Workforce'!P46+'PLUS ES Workforce'!P52</f>
        <v>29</v>
      </c>
      <c r="Q51" s="372" t="s">
        <v>23</v>
      </c>
      <c r="R51" s="372" t="s">
        <v>23</v>
      </c>
      <c r="S51" s="372" t="s">
        <v>23</v>
      </c>
      <c r="T51" s="372" t="s">
        <v>23</v>
      </c>
      <c r="U51" s="372" t="s">
        <v>23</v>
      </c>
      <c r="V51" s="372" t="s">
        <v>23</v>
      </c>
      <c r="W51" s="372" t="s">
        <v>23</v>
      </c>
      <c r="X51" s="372" t="s">
        <v>23</v>
      </c>
      <c r="Y51" s="372" t="s">
        <v>23</v>
      </c>
      <c r="Z51" s="372" t="s">
        <v>23</v>
      </c>
      <c r="AA51" s="372" t="s">
        <v>23</v>
      </c>
      <c r="AB51" s="372" t="s">
        <v>23</v>
      </c>
      <c r="AC51" s="372" t="s">
        <v>23</v>
      </c>
      <c r="AD51" s="372" t="s">
        <v>23</v>
      </c>
      <c r="AE51" s="372" t="s">
        <v>23</v>
      </c>
    </row>
    <row r="52" spans="1:31" ht="26.85" customHeight="1" x14ac:dyDescent="0.25">
      <c r="B52" s="345" t="s">
        <v>111</v>
      </c>
      <c r="C52" s="345"/>
      <c r="D52" s="193" t="s">
        <v>25</v>
      </c>
      <c r="E52" s="193"/>
      <c r="F52" s="456" t="str">
        <f>'PLUS ES Workforce'!F53</f>
        <v>-</v>
      </c>
      <c r="G52" s="456" t="str">
        <f>'PLUS ES Workforce'!G53</f>
        <v>-</v>
      </c>
      <c r="H52" s="456" t="str">
        <f>'PLUS ES Workforce'!H53</f>
        <v>-</v>
      </c>
      <c r="I52" s="456">
        <f t="shared" si="18"/>
        <v>0</v>
      </c>
      <c r="J52" s="689" t="str">
        <f>'PLUS ES Workforce'!J53</f>
        <v>-</v>
      </c>
      <c r="K52" s="689" t="str">
        <f>'PLUS ES Workforce'!K53</f>
        <v>-</v>
      </c>
      <c r="L52" s="689" t="str">
        <f>'PLUS ES Workforce'!L53</f>
        <v>-</v>
      </c>
      <c r="M52" s="689">
        <f t="shared" si="19"/>
        <v>0</v>
      </c>
      <c r="N52" s="372" t="s">
        <v>23</v>
      </c>
      <c r="O52" s="372" t="s">
        <v>23</v>
      </c>
      <c r="P52" s="372" t="s">
        <v>23</v>
      </c>
      <c r="Q52" s="372" t="s">
        <v>23</v>
      </c>
      <c r="R52" s="372" t="s">
        <v>23</v>
      </c>
      <c r="S52" s="372" t="s">
        <v>23</v>
      </c>
      <c r="T52" s="372" t="s">
        <v>23</v>
      </c>
      <c r="U52" s="372" t="s">
        <v>23</v>
      </c>
      <c r="V52" s="372" t="s">
        <v>23</v>
      </c>
      <c r="W52" s="372" t="s">
        <v>23</v>
      </c>
      <c r="X52" s="372" t="s">
        <v>23</v>
      </c>
      <c r="Y52" s="372" t="s">
        <v>23</v>
      </c>
      <c r="Z52" s="372" t="s">
        <v>23</v>
      </c>
      <c r="AA52" s="372" t="s">
        <v>23</v>
      </c>
      <c r="AB52" s="372" t="s">
        <v>23</v>
      </c>
      <c r="AC52" s="372" t="s">
        <v>23</v>
      </c>
      <c r="AD52" s="372" t="s">
        <v>23</v>
      </c>
      <c r="AE52" s="372" t="s">
        <v>23</v>
      </c>
    </row>
    <row r="53" spans="1:31" ht="26.85" customHeight="1" x14ac:dyDescent="0.25">
      <c r="B53" s="345" t="s">
        <v>112</v>
      </c>
      <c r="C53" s="345"/>
      <c r="D53" s="193" t="s">
        <v>25</v>
      </c>
      <c r="E53" s="193"/>
      <c r="F53" s="456" t="str">
        <f>'PLUS ES Workforce'!F54</f>
        <v>-</v>
      </c>
      <c r="G53" s="456" t="str">
        <f>'PLUS ES Workforce'!G54</f>
        <v>-</v>
      </c>
      <c r="H53" s="456" t="str">
        <f>'PLUS ES Workforce'!H54</f>
        <v>-</v>
      </c>
      <c r="I53" s="456">
        <f t="shared" si="18"/>
        <v>0</v>
      </c>
      <c r="J53" s="689" t="str">
        <f>'PLUS ES Workforce'!J54</f>
        <v>-</v>
      </c>
      <c r="K53" s="689" t="str">
        <f>'PLUS ES Workforce'!K54</f>
        <v>-</v>
      </c>
      <c r="L53" s="689" t="str">
        <f>'PLUS ES Workforce'!L54</f>
        <v>-</v>
      </c>
      <c r="M53" s="689">
        <f t="shared" si="19"/>
        <v>0</v>
      </c>
      <c r="N53" s="372" t="s">
        <v>23</v>
      </c>
      <c r="O53" s="372" t="s">
        <v>23</v>
      </c>
      <c r="P53" s="372" t="s">
        <v>23</v>
      </c>
      <c r="Q53" s="372" t="s">
        <v>23</v>
      </c>
      <c r="R53" s="372" t="s">
        <v>23</v>
      </c>
      <c r="S53" s="372" t="s">
        <v>23</v>
      </c>
      <c r="T53" s="372" t="s">
        <v>23</v>
      </c>
      <c r="U53" s="372" t="s">
        <v>23</v>
      </c>
      <c r="V53" s="372" t="s">
        <v>23</v>
      </c>
      <c r="W53" s="372" t="s">
        <v>23</v>
      </c>
      <c r="X53" s="372" t="s">
        <v>23</v>
      </c>
      <c r="Y53" s="372" t="s">
        <v>23</v>
      </c>
      <c r="Z53" s="372" t="s">
        <v>23</v>
      </c>
      <c r="AA53" s="372" t="s">
        <v>23</v>
      </c>
      <c r="AB53" s="372" t="s">
        <v>23</v>
      </c>
      <c r="AC53" s="372" t="s">
        <v>23</v>
      </c>
      <c r="AD53" s="372" t="s">
        <v>23</v>
      </c>
      <c r="AE53" s="372" t="s">
        <v>23</v>
      </c>
    </row>
    <row r="54" spans="1:31" ht="26.85" customHeight="1" x14ac:dyDescent="0.25">
      <c r="B54" s="345" t="s">
        <v>113</v>
      </c>
      <c r="C54" s="345"/>
      <c r="D54" s="193" t="s">
        <v>25</v>
      </c>
      <c r="E54" s="193"/>
      <c r="F54" s="456" t="s">
        <v>23</v>
      </c>
      <c r="G54" s="456" t="s">
        <v>23</v>
      </c>
      <c r="H54" s="456">
        <f>SUM('Ausgrid Workforce'!H47,'PLUS ES Workforce'!H55)</f>
        <v>6</v>
      </c>
      <c r="I54" s="456">
        <f>H54</f>
        <v>6</v>
      </c>
      <c r="J54" s="689" t="s">
        <v>23</v>
      </c>
      <c r="K54" s="689" t="s">
        <v>23</v>
      </c>
      <c r="L54" s="689">
        <f>SUM('Ausgrid Workforce'!L47,'PLUS ES Workforce'!L55)</f>
        <v>6</v>
      </c>
      <c r="M54" s="689">
        <f>L54</f>
        <v>6</v>
      </c>
      <c r="N54" s="372" t="s">
        <v>23</v>
      </c>
      <c r="O54" s="372" t="s">
        <v>23</v>
      </c>
      <c r="P54" s="372" t="s">
        <v>23</v>
      </c>
      <c r="Q54" s="372" t="s">
        <v>23</v>
      </c>
      <c r="R54" s="372" t="s">
        <v>23</v>
      </c>
      <c r="S54" s="372" t="s">
        <v>23</v>
      </c>
      <c r="T54" s="372" t="s">
        <v>23</v>
      </c>
      <c r="U54" s="372" t="s">
        <v>23</v>
      </c>
      <c r="V54" s="372" t="s">
        <v>23</v>
      </c>
      <c r="W54" s="372" t="s">
        <v>23</v>
      </c>
      <c r="X54" s="372" t="s">
        <v>23</v>
      </c>
      <c r="Y54" s="372" t="s">
        <v>23</v>
      </c>
      <c r="Z54" s="372" t="s">
        <v>23</v>
      </c>
      <c r="AA54" s="372" t="s">
        <v>23</v>
      </c>
      <c r="AB54" s="372" t="s">
        <v>23</v>
      </c>
      <c r="AC54" s="372" t="s">
        <v>23</v>
      </c>
      <c r="AD54" s="372" t="s">
        <v>23</v>
      </c>
      <c r="AE54" s="372" t="s">
        <v>23</v>
      </c>
    </row>
    <row r="55" spans="1:31" ht="26.85" customHeight="1" x14ac:dyDescent="0.25">
      <c r="B55" s="345" t="s">
        <v>102</v>
      </c>
      <c r="C55" s="345"/>
      <c r="D55" s="193" t="s">
        <v>25</v>
      </c>
      <c r="E55" s="193"/>
      <c r="F55" s="456">
        <f t="shared" ref="F55:I55" si="20">SUM(F49:F54)</f>
        <v>565</v>
      </c>
      <c r="G55" s="756">
        <f t="shared" si="20"/>
        <v>2386</v>
      </c>
      <c r="H55" s="456">
        <f t="shared" si="20"/>
        <v>6</v>
      </c>
      <c r="I55" s="756">
        <f t="shared" si="20"/>
        <v>2957</v>
      </c>
      <c r="J55" s="689">
        <f t="shared" ref="J55:M55" si="21">SUM(J49:J54)</f>
        <v>523</v>
      </c>
      <c r="K55" s="688">
        <f t="shared" si="21"/>
        <v>2366</v>
      </c>
      <c r="L55" s="689">
        <f t="shared" si="21"/>
        <v>6</v>
      </c>
      <c r="M55" s="688">
        <f t="shared" si="21"/>
        <v>2895</v>
      </c>
      <c r="N55" s="220">
        <f>SUM(N49:N51)</f>
        <v>477</v>
      </c>
      <c r="O55" s="192">
        <f>SUM(O49:O51)</f>
        <v>2311</v>
      </c>
      <c r="P55" s="192">
        <f>SUM(P49:P51)</f>
        <v>2788</v>
      </c>
      <c r="Q55" s="372" t="s">
        <v>23</v>
      </c>
      <c r="R55" s="372" t="s">
        <v>23</v>
      </c>
      <c r="S55" s="372" t="s">
        <v>23</v>
      </c>
      <c r="T55" s="372" t="s">
        <v>23</v>
      </c>
      <c r="U55" s="372" t="s">
        <v>23</v>
      </c>
      <c r="V55" s="372" t="s">
        <v>23</v>
      </c>
      <c r="W55" s="372" t="s">
        <v>23</v>
      </c>
      <c r="X55" s="372" t="s">
        <v>23</v>
      </c>
      <c r="Y55" s="372" t="s">
        <v>23</v>
      </c>
      <c r="Z55" s="372" t="s">
        <v>23</v>
      </c>
      <c r="AA55" s="372" t="s">
        <v>23</v>
      </c>
      <c r="AB55" s="372" t="s">
        <v>23</v>
      </c>
      <c r="AC55" s="372" t="s">
        <v>23</v>
      </c>
      <c r="AD55" s="372" t="s">
        <v>23</v>
      </c>
      <c r="AE55" s="372" t="s">
        <v>23</v>
      </c>
    </row>
    <row r="56" spans="1:31" ht="26.85" customHeight="1" x14ac:dyDescent="0.25">
      <c r="B56" s="231" t="s">
        <v>122</v>
      </c>
      <c r="C56" s="231"/>
      <c r="D56" s="193" t="s">
        <v>31</v>
      </c>
      <c r="E56" s="193"/>
      <c r="F56" s="457">
        <f>SUM(F57:F62)/$I$11</f>
        <v>2.4827152734129478E-2</v>
      </c>
      <c r="G56" s="457">
        <f t="shared" ref="G56:I56" si="22">SUM(G57:G62)/$I$11</f>
        <v>4.5883092394720298E-2</v>
      </c>
      <c r="H56" s="457">
        <f t="shared" si="22"/>
        <v>0</v>
      </c>
      <c r="I56" s="457">
        <f t="shared" si="22"/>
        <v>7.0710245128849783E-2</v>
      </c>
      <c r="J56" s="701">
        <f>SUM(J57:J62)/$M$11</f>
        <v>2.4429443908711025E-2</v>
      </c>
      <c r="K56" s="701">
        <f t="shared" ref="K56" si="23">SUM(K57:K62)/$M$11</f>
        <v>4.500160720025715E-2</v>
      </c>
      <c r="L56" s="694">
        <f t="shared" ref="L56" si="24">SUM(L57:L62)/$M$11</f>
        <v>0</v>
      </c>
      <c r="M56" s="694">
        <f t="shared" ref="M56" si="25">SUM(M57:M62)/$M$11</f>
        <v>6.9431051108968175E-2</v>
      </c>
      <c r="N56" s="208">
        <f>N63/P11</f>
        <v>2.3084643693542992E-2</v>
      </c>
      <c r="O56" s="208">
        <f>O63/P11</f>
        <v>4.4161927065908331E-2</v>
      </c>
      <c r="P56" s="208">
        <f>P63/P11</f>
        <v>6.7246570759451327E-2</v>
      </c>
      <c r="Q56" s="372" t="s">
        <v>23</v>
      </c>
      <c r="R56" s="372" t="s">
        <v>23</v>
      </c>
      <c r="S56" s="372" t="s">
        <v>23</v>
      </c>
      <c r="T56" s="372" t="s">
        <v>23</v>
      </c>
      <c r="U56" s="372" t="s">
        <v>23</v>
      </c>
      <c r="V56" s="372" t="s">
        <v>23</v>
      </c>
      <c r="W56" s="372" t="s">
        <v>23</v>
      </c>
      <c r="X56" s="372" t="s">
        <v>23</v>
      </c>
      <c r="Y56" s="372" t="s">
        <v>23</v>
      </c>
      <c r="Z56" s="372" t="s">
        <v>23</v>
      </c>
      <c r="AA56" s="372" t="s">
        <v>23</v>
      </c>
      <c r="AB56" s="372" t="s">
        <v>23</v>
      </c>
      <c r="AC56" s="372" t="s">
        <v>23</v>
      </c>
      <c r="AD56" s="372" t="s">
        <v>23</v>
      </c>
      <c r="AE56" s="372" t="s">
        <v>23</v>
      </c>
    </row>
    <row r="57" spans="1:31" ht="26.85" customHeight="1" x14ac:dyDescent="0.25">
      <c r="B57" s="345" t="s">
        <v>108</v>
      </c>
      <c r="C57" s="345"/>
      <c r="D57" s="193" t="s">
        <v>25</v>
      </c>
      <c r="E57" s="193"/>
      <c r="F57" s="456">
        <f>SUM('Ausgrid Workforce'!F50,'PLUS ES Workforce'!F58)</f>
        <v>30</v>
      </c>
      <c r="G57" s="456">
        <f>SUM('Ausgrid Workforce'!G50,'PLUS ES Workforce'!G58)</f>
        <v>39</v>
      </c>
      <c r="H57" s="456">
        <f>SUM('Ausgrid Workforce'!H50,'PLUS ES Workforce'!H58)</f>
        <v>0</v>
      </c>
      <c r="I57" s="456">
        <f t="shared" ref="I57:I61" si="26">SUM(F57:G57)</f>
        <v>69</v>
      </c>
      <c r="J57" s="689">
        <f>SUM('Ausgrid Workforce'!J50,'PLUS ES Workforce'!J58)</f>
        <v>23</v>
      </c>
      <c r="K57" s="689">
        <f>SUM('Ausgrid Workforce'!K50,'PLUS ES Workforce'!K58)</f>
        <v>33</v>
      </c>
      <c r="L57" s="689">
        <f>SUM('Ausgrid Workforce'!L50,'PLUS ES Workforce'!L58)</f>
        <v>0</v>
      </c>
      <c r="M57" s="689">
        <f t="shared" ref="M57:M61" si="27">SUM(J57:K57)</f>
        <v>56</v>
      </c>
      <c r="N57" s="446">
        <f>SUM('Ausgrid Workforce'!N50,'PLUS ES Workforce'!N58)</f>
        <v>16</v>
      </c>
      <c r="O57" s="446">
        <f>SUM('Ausgrid Workforce'!O50,'PLUS ES Workforce'!O58)</f>
        <v>29</v>
      </c>
      <c r="P57" s="446">
        <f>SUM('Ausgrid Workforce'!P50,'PLUS ES Workforce'!P58)</f>
        <v>45</v>
      </c>
      <c r="Q57" s="372" t="s">
        <v>23</v>
      </c>
      <c r="R57" s="372" t="s">
        <v>23</v>
      </c>
      <c r="S57" s="372" t="s">
        <v>23</v>
      </c>
      <c r="T57" s="372" t="s">
        <v>23</v>
      </c>
      <c r="U57" s="372" t="s">
        <v>23</v>
      </c>
      <c r="V57" s="372" t="s">
        <v>23</v>
      </c>
      <c r="W57" s="372" t="s">
        <v>23</v>
      </c>
      <c r="X57" s="372" t="s">
        <v>23</v>
      </c>
      <c r="Y57" s="372" t="s">
        <v>23</v>
      </c>
      <c r="Z57" s="372" t="s">
        <v>23</v>
      </c>
      <c r="AA57" s="372" t="s">
        <v>23</v>
      </c>
      <c r="AB57" s="372" t="s">
        <v>23</v>
      </c>
      <c r="AC57" s="372" t="s">
        <v>23</v>
      </c>
      <c r="AD57" s="372" t="s">
        <v>23</v>
      </c>
      <c r="AE57" s="372" t="s">
        <v>23</v>
      </c>
    </row>
    <row r="58" spans="1:31" ht="26.85" customHeight="1" x14ac:dyDescent="0.25">
      <c r="B58" s="345" t="s">
        <v>109</v>
      </c>
      <c r="C58" s="345"/>
      <c r="D58" s="193" t="s">
        <v>25</v>
      </c>
      <c r="E58" s="193"/>
      <c r="F58" s="456">
        <f>SUM('Ausgrid Workforce'!F51,'PLUS ES Workforce'!F59)</f>
        <v>49</v>
      </c>
      <c r="G58" s="456">
        <f>SUM('Ausgrid Workforce'!G51,'PLUS ES Workforce'!G59)</f>
        <v>107</v>
      </c>
      <c r="H58" s="456">
        <f>SUM('Ausgrid Workforce'!H51,'PLUS ES Workforce'!H59)</f>
        <v>0</v>
      </c>
      <c r="I58" s="456">
        <f t="shared" si="26"/>
        <v>156</v>
      </c>
      <c r="J58" s="689">
        <f>SUM('Ausgrid Workforce'!J51,'PLUS ES Workforce'!J59)</f>
        <v>53</v>
      </c>
      <c r="K58" s="689">
        <f>SUM('Ausgrid Workforce'!K51,'PLUS ES Workforce'!K59)</f>
        <v>107</v>
      </c>
      <c r="L58" s="689">
        <f>SUM('Ausgrid Workforce'!L51,'PLUS ES Workforce'!L59)</f>
        <v>0</v>
      </c>
      <c r="M58" s="689">
        <f t="shared" si="27"/>
        <v>160</v>
      </c>
      <c r="N58" s="446">
        <f>'Ausgrid Workforce'!N51+'PLUS ES Workforce'!N59</f>
        <v>49</v>
      </c>
      <c r="O58" s="446">
        <f>'Ausgrid Workforce'!O51+'PLUS ES Workforce'!O59</f>
        <v>98</v>
      </c>
      <c r="P58" s="446">
        <f>'Ausgrid Workforce'!P51+'PLUS ES Workforce'!P59</f>
        <v>147</v>
      </c>
      <c r="Q58" s="372" t="s">
        <v>23</v>
      </c>
      <c r="R58" s="372" t="s">
        <v>23</v>
      </c>
      <c r="S58" s="372" t="s">
        <v>23</v>
      </c>
      <c r="T58" s="372" t="s">
        <v>23</v>
      </c>
      <c r="U58" s="372" t="s">
        <v>23</v>
      </c>
      <c r="V58" s="372" t="s">
        <v>23</v>
      </c>
      <c r="W58" s="372" t="s">
        <v>23</v>
      </c>
      <c r="X58" s="372" t="s">
        <v>23</v>
      </c>
      <c r="Y58" s="372" t="s">
        <v>23</v>
      </c>
      <c r="Z58" s="372" t="s">
        <v>23</v>
      </c>
      <c r="AA58" s="372" t="s">
        <v>23</v>
      </c>
      <c r="AB58" s="372" t="s">
        <v>23</v>
      </c>
      <c r="AC58" s="372" t="s">
        <v>23</v>
      </c>
      <c r="AD58" s="372" t="s">
        <v>23</v>
      </c>
      <c r="AE58" s="372" t="s">
        <v>23</v>
      </c>
    </row>
    <row r="59" spans="1:31" ht="26.85" customHeight="1" x14ac:dyDescent="0.25">
      <c r="B59" s="345" t="s">
        <v>110</v>
      </c>
      <c r="C59" s="345"/>
      <c r="D59" s="193" t="s">
        <v>25</v>
      </c>
      <c r="E59" s="193"/>
      <c r="F59" s="456">
        <f>SUM('Ausgrid Workforce'!F52,'PLUS ES Workforce'!F60)</f>
        <v>0</v>
      </c>
      <c r="G59" s="456">
        <f>SUM('Ausgrid Workforce'!G52,'PLUS ES Workforce'!G60)</f>
        <v>0</v>
      </c>
      <c r="H59" s="456">
        <f>SUM('Ausgrid Workforce'!H52,'PLUS ES Workforce'!H60)</f>
        <v>0</v>
      </c>
      <c r="I59" s="456">
        <f t="shared" si="26"/>
        <v>0</v>
      </c>
      <c r="J59" s="689">
        <f>SUM('Ausgrid Workforce'!J52,'PLUS ES Workforce'!J60)</f>
        <v>0</v>
      </c>
      <c r="K59" s="689">
        <f>SUM('Ausgrid Workforce'!K52,'PLUS ES Workforce'!K60)</f>
        <v>0</v>
      </c>
      <c r="L59" s="689">
        <f>SUM('Ausgrid Workforce'!L52,'PLUS ES Workforce'!L60)</f>
        <v>0</v>
      </c>
      <c r="M59" s="689">
        <f t="shared" si="27"/>
        <v>0</v>
      </c>
      <c r="N59" s="446">
        <f>'Ausgrid Workforce'!N52+'PLUS ES Workforce'!N60</f>
        <v>4</v>
      </c>
      <c r="O59" s="446">
        <f>'Ausgrid Workforce'!O52+'PLUS ES Workforce'!O60</f>
        <v>5</v>
      </c>
      <c r="P59" s="446">
        <f>'Ausgrid Workforce'!P52+'PLUS ES Workforce'!P60</f>
        <v>9</v>
      </c>
      <c r="Q59" s="372" t="s">
        <v>23</v>
      </c>
      <c r="R59" s="372" t="s">
        <v>23</v>
      </c>
      <c r="S59" s="372" t="s">
        <v>23</v>
      </c>
      <c r="T59" s="372" t="s">
        <v>23</v>
      </c>
      <c r="U59" s="372" t="s">
        <v>23</v>
      </c>
      <c r="V59" s="372" t="s">
        <v>23</v>
      </c>
      <c r="W59" s="372" t="s">
        <v>23</v>
      </c>
      <c r="X59" s="372" t="s">
        <v>23</v>
      </c>
      <c r="Y59" s="372" t="s">
        <v>23</v>
      </c>
      <c r="Z59" s="372" t="s">
        <v>23</v>
      </c>
      <c r="AA59" s="372" t="s">
        <v>23</v>
      </c>
      <c r="AB59" s="372" t="s">
        <v>23</v>
      </c>
      <c r="AC59" s="372" t="s">
        <v>23</v>
      </c>
      <c r="AD59" s="372" t="s">
        <v>23</v>
      </c>
      <c r="AE59" s="372" t="s">
        <v>23</v>
      </c>
    </row>
    <row r="60" spans="1:31" ht="26.85" customHeight="1" x14ac:dyDescent="0.25">
      <c r="B60" s="345" t="s">
        <v>111</v>
      </c>
      <c r="C60" s="345"/>
      <c r="D60" s="193" t="s">
        <v>25</v>
      </c>
      <c r="E60" s="193"/>
      <c r="F60" s="456" t="str">
        <f>'PLUS ES Workforce'!F61</f>
        <v>-</v>
      </c>
      <c r="G60" s="456" t="str">
        <f>'PLUS ES Workforce'!G61</f>
        <v>-</v>
      </c>
      <c r="H60" s="456" t="str">
        <f>'PLUS ES Workforce'!H61</f>
        <v>-</v>
      </c>
      <c r="I60" s="456">
        <f t="shared" si="26"/>
        <v>0</v>
      </c>
      <c r="J60" s="689" t="str">
        <f>'PLUS ES Workforce'!J61</f>
        <v>-</v>
      </c>
      <c r="K60" s="689" t="str">
        <f>'PLUS ES Workforce'!K61</f>
        <v>-</v>
      </c>
      <c r="L60" s="689" t="str">
        <f>'PLUS ES Workforce'!L61</f>
        <v>-</v>
      </c>
      <c r="M60" s="689">
        <f t="shared" si="27"/>
        <v>0</v>
      </c>
      <c r="N60" s="372" t="s">
        <v>23</v>
      </c>
      <c r="O60" s="372" t="s">
        <v>23</v>
      </c>
      <c r="P60" s="372" t="s">
        <v>23</v>
      </c>
      <c r="Q60" s="372" t="s">
        <v>23</v>
      </c>
      <c r="R60" s="372" t="s">
        <v>23</v>
      </c>
      <c r="S60" s="372" t="s">
        <v>23</v>
      </c>
      <c r="T60" s="372" t="s">
        <v>23</v>
      </c>
      <c r="U60" s="372" t="s">
        <v>23</v>
      </c>
      <c r="V60" s="372" t="s">
        <v>23</v>
      </c>
      <c r="W60" s="372" t="s">
        <v>23</v>
      </c>
      <c r="X60" s="372" t="s">
        <v>23</v>
      </c>
      <c r="Y60" s="372" t="s">
        <v>23</v>
      </c>
      <c r="Z60" s="372" t="s">
        <v>23</v>
      </c>
      <c r="AA60" s="372" t="s">
        <v>23</v>
      </c>
      <c r="AB60" s="372" t="s">
        <v>23</v>
      </c>
      <c r="AC60" s="372" t="s">
        <v>23</v>
      </c>
      <c r="AD60" s="372" t="s">
        <v>23</v>
      </c>
      <c r="AE60" s="372" t="s">
        <v>23</v>
      </c>
    </row>
    <row r="61" spans="1:31" ht="26.85" customHeight="1" x14ac:dyDescent="0.25">
      <c r="B61" s="345" t="s">
        <v>112</v>
      </c>
      <c r="C61" s="345"/>
      <c r="D61" s="193" t="s">
        <v>25</v>
      </c>
      <c r="E61" s="193"/>
      <c r="F61" s="456" t="str">
        <f>'PLUS ES Workforce'!F62</f>
        <v>-</v>
      </c>
      <c r="G61" s="456" t="str">
        <f>'PLUS ES Workforce'!G62</f>
        <v>-</v>
      </c>
      <c r="H61" s="456" t="str">
        <f>'PLUS ES Workforce'!H62</f>
        <v>-</v>
      </c>
      <c r="I61" s="456">
        <f t="shared" si="26"/>
        <v>0</v>
      </c>
      <c r="J61" s="689" t="str">
        <f>'PLUS ES Workforce'!J62</f>
        <v>-</v>
      </c>
      <c r="K61" s="689" t="str">
        <f>'PLUS ES Workforce'!K62</f>
        <v>-</v>
      </c>
      <c r="L61" s="689" t="str">
        <f>'PLUS ES Workforce'!L62</f>
        <v>-</v>
      </c>
      <c r="M61" s="689">
        <f t="shared" si="27"/>
        <v>0</v>
      </c>
      <c r="N61" s="372" t="s">
        <v>23</v>
      </c>
      <c r="O61" s="372" t="s">
        <v>23</v>
      </c>
      <c r="P61" s="372" t="s">
        <v>23</v>
      </c>
      <c r="Q61" s="372" t="s">
        <v>23</v>
      </c>
      <c r="R61" s="372" t="s">
        <v>23</v>
      </c>
      <c r="S61" s="372" t="s">
        <v>23</v>
      </c>
      <c r="T61" s="372" t="s">
        <v>23</v>
      </c>
      <c r="U61" s="372" t="s">
        <v>23</v>
      </c>
      <c r="V61" s="372" t="s">
        <v>23</v>
      </c>
      <c r="W61" s="372" t="s">
        <v>23</v>
      </c>
      <c r="X61" s="372" t="s">
        <v>23</v>
      </c>
      <c r="Y61" s="372" t="s">
        <v>23</v>
      </c>
      <c r="Z61" s="372" t="s">
        <v>23</v>
      </c>
      <c r="AA61" s="372" t="s">
        <v>23</v>
      </c>
      <c r="AB61" s="372" t="s">
        <v>23</v>
      </c>
      <c r="AC61" s="372" t="s">
        <v>23</v>
      </c>
      <c r="AD61" s="372" t="s">
        <v>23</v>
      </c>
      <c r="AE61" s="372" t="s">
        <v>23</v>
      </c>
    </row>
    <row r="62" spans="1:31" ht="26.85" customHeight="1" x14ac:dyDescent="0.25">
      <c r="B62" s="345" t="s">
        <v>113</v>
      </c>
      <c r="C62" s="345"/>
      <c r="D62" s="193" t="s">
        <v>25</v>
      </c>
      <c r="E62" s="193"/>
      <c r="F62" s="750" t="s">
        <v>23</v>
      </c>
      <c r="G62" s="750" t="s">
        <v>23</v>
      </c>
      <c r="H62" s="456">
        <f>SUM('Ausgrid Workforce'!H53,'PLUS ES Workforce'!H63)</f>
        <v>0</v>
      </c>
      <c r="I62" s="750" t="s">
        <v>23</v>
      </c>
      <c r="J62" s="697" t="s">
        <v>23</v>
      </c>
      <c r="K62" s="697" t="s">
        <v>23</v>
      </c>
      <c r="L62" s="689">
        <f>SUM('Ausgrid Workforce'!L53,'PLUS ES Workforce'!L63)</f>
        <v>0</v>
      </c>
      <c r="M62" s="697" t="s">
        <v>23</v>
      </c>
      <c r="N62" s="372" t="s">
        <v>23</v>
      </c>
      <c r="O62" s="372" t="s">
        <v>23</v>
      </c>
      <c r="P62" s="372" t="s">
        <v>23</v>
      </c>
      <c r="Q62" s="372" t="s">
        <v>23</v>
      </c>
      <c r="R62" s="372" t="s">
        <v>23</v>
      </c>
      <c r="S62" s="372" t="s">
        <v>23</v>
      </c>
      <c r="T62" s="372" t="s">
        <v>23</v>
      </c>
      <c r="U62" s="372" t="s">
        <v>23</v>
      </c>
      <c r="V62" s="372" t="s">
        <v>23</v>
      </c>
      <c r="W62" s="372" t="s">
        <v>23</v>
      </c>
      <c r="X62" s="372" t="s">
        <v>23</v>
      </c>
      <c r="Y62" s="372" t="s">
        <v>23</v>
      </c>
      <c r="Z62" s="372" t="s">
        <v>23</v>
      </c>
      <c r="AA62" s="372" t="s">
        <v>23</v>
      </c>
      <c r="AB62" s="372" t="s">
        <v>23</v>
      </c>
      <c r="AC62" s="372" t="s">
        <v>23</v>
      </c>
      <c r="AD62" s="372" t="s">
        <v>23</v>
      </c>
      <c r="AE62" s="372" t="s">
        <v>23</v>
      </c>
    </row>
    <row r="63" spans="1:31" ht="26.85" customHeight="1" x14ac:dyDescent="0.25">
      <c r="B63" s="345" t="s">
        <v>102</v>
      </c>
      <c r="C63" s="345"/>
      <c r="D63" s="193" t="s">
        <v>25</v>
      </c>
      <c r="E63" s="193"/>
      <c r="F63" s="456">
        <f t="shared" ref="F63:I63" si="28">SUM(F57:F62)</f>
        <v>79</v>
      </c>
      <c r="G63" s="456">
        <f t="shared" si="28"/>
        <v>146</v>
      </c>
      <c r="H63" s="456">
        <f t="shared" si="28"/>
        <v>0</v>
      </c>
      <c r="I63" s="456">
        <f t="shared" si="28"/>
        <v>225</v>
      </c>
      <c r="J63" s="689">
        <f t="shared" ref="J63:M63" si="29">SUM(J57:J62)</f>
        <v>76</v>
      </c>
      <c r="K63" s="689">
        <f t="shared" si="29"/>
        <v>140</v>
      </c>
      <c r="L63" s="689">
        <f t="shared" si="29"/>
        <v>0</v>
      </c>
      <c r="M63" s="689">
        <f t="shared" si="29"/>
        <v>216</v>
      </c>
      <c r="N63" s="446">
        <f>SUM(N57:N59)</f>
        <v>69</v>
      </c>
      <c r="O63" s="446">
        <f>SUM(O57:O59)</f>
        <v>132</v>
      </c>
      <c r="P63" s="446">
        <f>SUM(P57:P59)</f>
        <v>201</v>
      </c>
      <c r="Q63" s="372" t="s">
        <v>23</v>
      </c>
      <c r="R63" s="372" t="s">
        <v>23</v>
      </c>
      <c r="S63" s="372" t="s">
        <v>23</v>
      </c>
      <c r="T63" s="372" t="s">
        <v>23</v>
      </c>
      <c r="U63" s="372" t="s">
        <v>23</v>
      </c>
      <c r="V63" s="372" t="s">
        <v>23</v>
      </c>
      <c r="W63" s="372" t="s">
        <v>23</v>
      </c>
      <c r="X63" s="372" t="s">
        <v>23</v>
      </c>
      <c r="Y63" s="372" t="s">
        <v>23</v>
      </c>
      <c r="Z63" s="372" t="s">
        <v>23</v>
      </c>
      <c r="AA63" s="372" t="s">
        <v>23</v>
      </c>
      <c r="AB63" s="372" t="s">
        <v>23</v>
      </c>
      <c r="AC63" s="372" t="s">
        <v>23</v>
      </c>
      <c r="AD63" s="372" t="s">
        <v>23</v>
      </c>
      <c r="AE63" s="372" t="s">
        <v>23</v>
      </c>
    </row>
    <row r="64" spans="1:31" ht="26.85" customHeight="1" x14ac:dyDescent="0.25">
      <c r="A64" s="35"/>
      <c r="B64" s="231" t="s">
        <v>102</v>
      </c>
      <c r="C64" s="231"/>
      <c r="D64" s="193" t="s">
        <v>31</v>
      </c>
      <c r="E64" s="193"/>
      <c r="F64" s="457">
        <f t="shared" ref="F64:I64" si="30">SUM(F56,F48)</f>
        <v>0.20238843494657446</v>
      </c>
      <c r="G64" s="457">
        <f t="shared" si="30"/>
        <v>0.79572595851665617</v>
      </c>
      <c r="H64" s="457">
        <f t="shared" si="30"/>
        <v>1.8856065367693275E-3</v>
      </c>
      <c r="I64" s="457">
        <f t="shared" si="30"/>
        <v>1</v>
      </c>
      <c r="J64" s="701">
        <f t="shared" ref="J64:P64" si="31">SUM(J56,J48)</f>
        <v>0.19254259080681452</v>
      </c>
      <c r="K64" s="701">
        <f t="shared" si="31"/>
        <v>0.80552876888460301</v>
      </c>
      <c r="L64" s="701">
        <f t="shared" si="31"/>
        <v>1.9286403085824494E-3</v>
      </c>
      <c r="M64" s="701">
        <f t="shared" si="31"/>
        <v>1</v>
      </c>
      <c r="N64" s="208">
        <f t="shared" si="31"/>
        <v>0.18266978922716628</v>
      </c>
      <c r="O64" s="208">
        <f t="shared" si="31"/>
        <v>0.81733021077283374</v>
      </c>
      <c r="P64" s="230">
        <f t="shared" si="31"/>
        <v>1</v>
      </c>
      <c r="Q64" s="372" t="s">
        <v>23</v>
      </c>
      <c r="R64" s="372" t="s">
        <v>23</v>
      </c>
      <c r="S64" s="372" t="s">
        <v>23</v>
      </c>
      <c r="T64" s="372" t="s">
        <v>23</v>
      </c>
      <c r="U64" s="372" t="s">
        <v>23</v>
      </c>
      <c r="V64" s="372" t="s">
        <v>23</v>
      </c>
      <c r="W64" s="372" t="s">
        <v>23</v>
      </c>
      <c r="X64" s="372" t="s">
        <v>23</v>
      </c>
      <c r="Y64" s="372" t="s">
        <v>23</v>
      </c>
      <c r="Z64" s="372" t="s">
        <v>23</v>
      </c>
      <c r="AA64" s="372" t="s">
        <v>23</v>
      </c>
      <c r="AB64" s="372" t="s">
        <v>23</v>
      </c>
      <c r="AC64" s="372" t="s">
        <v>23</v>
      </c>
      <c r="AD64" s="372" t="s">
        <v>23</v>
      </c>
      <c r="AE64" s="372" t="s">
        <v>23</v>
      </c>
    </row>
    <row r="65" spans="1:31" s="479" customFormat="1" ht="40.5" customHeight="1" x14ac:dyDescent="0.25">
      <c r="A65" s="486"/>
      <c r="B65" s="934" t="s">
        <v>123</v>
      </c>
      <c r="C65" s="934"/>
      <c r="D65" s="934"/>
      <c r="E65" s="934"/>
      <c r="F65" s="934"/>
      <c r="G65" s="934"/>
      <c r="H65" s="934"/>
      <c r="I65" s="934"/>
      <c r="J65" s="934"/>
      <c r="K65" s="934"/>
      <c r="L65" s="934"/>
      <c r="M65" s="934"/>
      <c r="N65" s="934"/>
      <c r="O65" s="487"/>
      <c r="P65" s="488"/>
      <c r="Q65" s="476"/>
      <c r="R65" s="476"/>
      <c r="S65" s="476"/>
      <c r="T65" s="476"/>
      <c r="U65" s="476"/>
      <c r="V65" s="476"/>
      <c r="W65" s="476"/>
      <c r="X65" s="476"/>
      <c r="Y65" s="476"/>
      <c r="Z65" s="476"/>
      <c r="AA65" s="476"/>
      <c r="AB65" s="476"/>
      <c r="AC65" s="476"/>
      <c r="AD65" s="476"/>
      <c r="AE65" s="476"/>
    </row>
    <row r="66" spans="1:31" ht="50.1" customHeight="1" x14ac:dyDescent="0.2">
      <c r="B66" s="485"/>
      <c r="C66" s="485"/>
      <c r="D66" s="485"/>
      <c r="E66" s="485"/>
      <c r="F66" s="460"/>
      <c r="G66" s="460"/>
      <c r="H66" s="460"/>
      <c r="I66" s="460"/>
      <c r="J66" s="460"/>
      <c r="K66" s="460"/>
      <c r="L66" s="460"/>
      <c r="M66" s="460"/>
      <c r="N66" s="333"/>
      <c r="O66" s="333"/>
      <c r="P66" s="333"/>
      <c r="Q66" s="333"/>
      <c r="R66" s="333"/>
      <c r="S66" s="333"/>
      <c r="T66" s="333"/>
      <c r="U66" s="333"/>
      <c r="V66" s="333"/>
      <c r="W66" s="333"/>
      <c r="X66" s="333"/>
      <c r="Y66" s="333"/>
      <c r="Z66" s="333"/>
      <c r="AA66" s="333"/>
      <c r="AB66" s="333"/>
      <c r="AC66" s="333"/>
      <c r="AD66" s="333"/>
      <c r="AE66" s="333"/>
    </row>
    <row r="67" spans="1:31" ht="26.85" customHeight="1" x14ac:dyDescent="0.35">
      <c r="B67" s="6" t="s">
        <v>124</v>
      </c>
      <c r="C67" s="305"/>
      <c r="D67" s="7" t="s">
        <v>9</v>
      </c>
      <c r="E67" s="306"/>
      <c r="F67" s="930" t="s">
        <v>10</v>
      </c>
      <c r="G67" s="930"/>
      <c r="H67" s="930"/>
      <c r="I67" s="930"/>
      <c r="J67" s="930" t="s">
        <v>11</v>
      </c>
      <c r="K67" s="930"/>
      <c r="L67" s="930"/>
      <c r="M67" s="930"/>
      <c r="N67" s="920" t="s">
        <v>12</v>
      </c>
      <c r="O67" s="920"/>
      <c r="P67" s="920"/>
      <c r="Q67" s="920" t="s">
        <v>13</v>
      </c>
      <c r="R67" s="920"/>
      <c r="S67" s="920"/>
      <c r="T67" s="920" t="s">
        <v>14</v>
      </c>
      <c r="U67" s="920"/>
      <c r="V67" s="920"/>
      <c r="W67" s="920" t="s">
        <v>15</v>
      </c>
      <c r="X67" s="920"/>
      <c r="Y67" s="920"/>
      <c r="Z67" s="920" t="s">
        <v>16</v>
      </c>
      <c r="AA67" s="920"/>
      <c r="AB67" s="920"/>
      <c r="AC67" s="920" t="s">
        <v>17</v>
      </c>
      <c r="AD67" s="920"/>
      <c r="AE67" s="920"/>
    </row>
    <row r="68" spans="1:31" ht="26.85" customHeight="1" x14ac:dyDescent="0.25">
      <c r="B68" s="195"/>
      <c r="C68" s="195"/>
      <c r="D68" s="198"/>
      <c r="E68" s="198"/>
      <c r="F68" s="182" t="s">
        <v>99</v>
      </c>
      <c r="G68" s="182" t="s">
        <v>100</v>
      </c>
      <c r="H68" s="532" t="s">
        <v>101</v>
      </c>
      <c r="I68" s="182" t="s">
        <v>102</v>
      </c>
      <c r="J68" s="452" t="s">
        <v>99</v>
      </c>
      <c r="K68" s="452" t="s">
        <v>100</v>
      </c>
      <c r="L68" s="690" t="s">
        <v>101</v>
      </c>
      <c r="M68" s="452" t="s">
        <v>102</v>
      </c>
      <c r="N68" s="183" t="s">
        <v>99</v>
      </c>
      <c r="O68" s="183" t="s">
        <v>100</v>
      </c>
      <c r="P68" s="183" t="s">
        <v>102</v>
      </c>
      <c r="Q68" s="183" t="s">
        <v>99</v>
      </c>
      <c r="R68" s="183" t="s">
        <v>100</v>
      </c>
      <c r="S68" s="183" t="s">
        <v>102</v>
      </c>
      <c r="T68" s="183" t="s">
        <v>99</v>
      </c>
      <c r="U68" s="183" t="s">
        <v>100</v>
      </c>
      <c r="V68" s="183" t="s">
        <v>102</v>
      </c>
      <c r="W68" s="183" t="s">
        <v>99</v>
      </c>
      <c r="X68" s="183" t="s">
        <v>100</v>
      </c>
      <c r="Y68" s="183" t="s">
        <v>102</v>
      </c>
      <c r="Z68" s="183" t="s">
        <v>99</v>
      </c>
      <c r="AA68" s="183" t="s">
        <v>100</v>
      </c>
      <c r="AB68" s="183" t="s">
        <v>102</v>
      </c>
      <c r="AC68" s="183" t="s">
        <v>99</v>
      </c>
      <c r="AD68" s="183" t="s">
        <v>100</v>
      </c>
      <c r="AE68" s="183" t="s">
        <v>102</v>
      </c>
    </row>
    <row r="69" spans="1:31" ht="26.85" customHeight="1" x14ac:dyDescent="0.25">
      <c r="B69" s="193" t="s">
        <v>125</v>
      </c>
      <c r="C69" s="188"/>
      <c r="D69" s="180" t="s">
        <v>25</v>
      </c>
      <c r="E69" s="180"/>
      <c r="F69" s="756">
        <f>SUM('Ausgrid Workforce'!F60,'PLUS ES Workforce'!F70)</f>
        <v>1137452.82</v>
      </c>
      <c r="G69" s="756">
        <f>SUM('Ausgrid Workforce'!G60,'PLUS ES Workforce'!G70)</f>
        <v>5047484.3999999994</v>
      </c>
      <c r="H69" s="756">
        <f>SUM('Ausgrid Workforce'!H60,'PLUS ES Workforce'!H70)</f>
        <v>14330.35</v>
      </c>
      <c r="I69" s="756">
        <f>SUM('Ausgrid Workforce'!I60,'PLUS ES Workforce'!I70)</f>
        <v>6184937.2199999997</v>
      </c>
      <c r="J69" s="688">
        <f>SUM('Ausgrid Workforce'!J60,'PLUS ES Workforce'!J70)</f>
        <v>1047038.64</v>
      </c>
      <c r="K69" s="688">
        <f>SUM('Ausgrid Workforce'!K60,'PLUS ES Workforce'!K70)</f>
        <v>5154441.5599999996</v>
      </c>
      <c r="L69" s="688">
        <f>SUM('Ausgrid Workforce'!L60,'PLUS ES Workforce'!L70)</f>
        <v>14651.82</v>
      </c>
      <c r="M69" s="688">
        <f>SUM('Ausgrid Workforce'!M60,'PLUS ES Workforce'!M70)</f>
        <v>6201480.2000000002</v>
      </c>
      <c r="N69" s="372" t="s">
        <v>23</v>
      </c>
      <c r="O69" s="372" t="s">
        <v>23</v>
      </c>
      <c r="P69" s="372" t="s">
        <v>23</v>
      </c>
      <c r="Q69" s="372" t="s">
        <v>23</v>
      </c>
      <c r="R69" s="372" t="s">
        <v>23</v>
      </c>
      <c r="S69" s="372" t="s">
        <v>23</v>
      </c>
      <c r="T69" s="372" t="s">
        <v>23</v>
      </c>
      <c r="U69" s="372" t="s">
        <v>23</v>
      </c>
      <c r="V69" s="372" t="s">
        <v>23</v>
      </c>
      <c r="W69" s="372" t="s">
        <v>23</v>
      </c>
      <c r="X69" s="372" t="s">
        <v>23</v>
      </c>
      <c r="Y69" s="372" t="s">
        <v>23</v>
      </c>
      <c r="Z69" s="372" t="s">
        <v>23</v>
      </c>
      <c r="AA69" s="372" t="s">
        <v>23</v>
      </c>
      <c r="AB69" s="372" t="s">
        <v>23</v>
      </c>
      <c r="AC69" s="372" t="s">
        <v>23</v>
      </c>
      <c r="AD69" s="372" t="s">
        <v>23</v>
      </c>
      <c r="AE69" s="372" t="s">
        <v>23</v>
      </c>
    </row>
    <row r="70" spans="1:31" s="553" customFormat="1" ht="26.85" customHeight="1" x14ac:dyDescent="0.2">
      <c r="B70" s="526" t="s">
        <v>126</v>
      </c>
      <c r="C70" s="511"/>
      <c r="D70" s="511"/>
      <c r="E70" s="511"/>
      <c r="F70" s="554"/>
      <c r="G70" s="554"/>
      <c r="H70" s="554"/>
      <c r="I70" s="554"/>
      <c r="J70" s="554"/>
      <c r="K70" s="554"/>
      <c r="L70" s="554"/>
      <c r="M70" s="554"/>
      <c r="N70" s="555"/>
      <c r="O70" s="555"/>
      <c r="P70" s="555"/>
      <c r="Q70" s="555"/>
      <c r="R70" s="555"/>
      <c r="S70" s="555"/>
      <c r="T70" s="555"/>
      <c r="U70" s="555"/>
      <c r="V70" s="555"/>
      <c r="W70" s="555"/>
      <c r="X70" s="555"/>
      <c r="Y70" s="555"/>
      <c r="Z70" s="555"/>
      <c r="AA70" s="555"/>
      <c r="AB70" s="555"/>
      <c r="AC70" s="555"/>
      <c r="AD70" s="555"/>
      <c r="AE70" s="555"/>
    </row>
    <row r="71" spans="1:31" ht="50.1" customHeight="1" x14ac:dyDescent="0.2">
      <c r="B71" s="552"/>
      <c r="C71" s="10"/>
      <c r="D71" s="10"/>
      <c r="E71" s="10"/>
      <c r="F71" s="43"/>
      <c r="G71" s="43"/>
      <c r="H71" s="43"/>
      <c r="I71" s="43"/>
      <c r="J71" s="43"/>
      <c r="K71" s="43"/>
      <c r="L71" s="43"/>
      <c r="M71" s="43"/>
      <c r="N71" s="12"/>
      <c r="O71" s="12"/>
      <c r="P71" s="12"/>
      <c r="Q71" s="12"/>
      <c r="R71" s="12"/>
      <c r="S71" s="12"/>
      <c r="T71" s="12"/>
      <c r="U71" s="12"/>
      <c r="V71" s="12"/>
      <c r="W71" s="12"/>
      <c r="X71" s="12"/>
      <c r="Y71" s="12"/>
      <c r="Z71" s="12"/>
      <c r="AA71" s="12"/>
      <c r="AB71" s="12"/>
      <c r="AC71" s="12"/>
      <c r="AD71" s="12"/>
      <c r="AE71" s="12"/>
    </row>
    <row r="72" spans="1:31" ht="26.85" customHeight="1" x14ac:dyDescent="0.25">
      <c r="B72" s="6" t="s">
        <v>127</v>
      </c>
      <c r="C72" s="6"/>
      <c r="D72" s="7" t="s">
        <v>9</v>
      </c>
      <c r="E72" s="306"/>
      <c r="F72" s="930" t="s">
        <v>10</v>
      </c>
      <c r="G72" s="930"/>
      <c r="H72" s="930"/>
      <c r="I72" s="930"/>
      <c r="J72" s="930" t="s">
        <v>11</v>
      </c>
      <c r="K72" s="930"/>
      <c r="L72" s="930"/>
      <c r="M72" s="930"/>
      <c r="N72" s="920" t="s">
        <v>12</v>
      </c>
      <c r="O72" s="920"/>
      <c r="P72" s="920"/>
      <c r="Q72" s="920" t="s">
        <v>13</v>
      </c>
      <c r="R72" s="920"/>
      <c r="S72" s="920"/>
      <c r="T72" s="920" t="s">
        <v>14</v>
      </c>
      <c r="U72" s="920"/>
      <c r="V72" s="920"/>
      <c r="W72" s="920" t="s">
        <v>15</v>
      </c>
      <c r="X72" s="920"/>
      <c r="Y72" s="920"/>
      <c r="Z72" s="920" t="s">
        <v>16</v>
      </c>
      <c r="AA72" s="920"/>
      <c r="AB72" s="920"/>
      <c r="AC72" s="920" t="s">
        <v>17</v>
      </c>
      <c r="AD72" s="920"/>
      <c r="AE72" s="920"/>
    </row>
    <row r="73" spans="1:31" ht="26.85" customHeight="1" x14ac:dyDescent="0.25">
      <c r="B73" s="231"/>
      <c r="C73" s="231"/>
      <c r="D73" s="231"/>
      <c r="E73" s="231"/>
      <c r="F73" s="532" t="s">
        <v>99</v>
      </c>
      <c r="G73" s="532" t="s">
        <v>100</v>
      </c>
      <c r="H73" s="532" t="s">
        <v>101</v>
      </c>
      <c r="I73" s="532" t="s">
        <v>102</v>
      </c>
      <c r="J73" s="690" t="s">
        <v>99</v>
      </c>
      <c r="K73" s="690" t="s">
        <v>100</v>
      </c>
      <c r="L73" s="690" t="s">
        <v>101</v>
      </c>
      <c r="M73" s="690" t="s">
        <v>102</v>
      </c>
      <c r="N73" s="183" t="s">
        <v>99</v>
      </c>
      <c r="O73" s="183" t="s">
        <v>100</v>
      </c>
      <c r="P73" s="183" t="s">
        <v>102</v>
      </c>
      <c r="Q73" s="183" t="s">
        <v>99</v>
      </c>
      <c r="R73" s="183" t="s">
        <v>100</v>
      </c>
      <c r="S73" s="183" t="s">
        <v>102</v>
      </c>
      <c r="T73" s="183" t="s">
        <v>99</v>
      </c>
      <c r="U73" s="183" t="s">
        <v>100</v>
      </c>
      <c r="V73" s="183" t="s">
        <v>102</v>
      </c>
      <c r="W73" s="183" t="s">
        <v>99</v>
      </c>
      <c r="X73" s="183" t="s">
        <v>100</v>
      </c>
      <c r="Y73" s="183" t="s">
        <v>102</v>
      </c>
      <c r="Z73" s="183" t="s">
        <v>99</v>
      </c>
      <c r="AA73" s="183" t="s">
        <v>100</v>
      </c>
      <c r="AB73" s="183" t="s">
        <v>102</v>
      </c>
      <c r="AC73" s="183" t="s">
        <v>99</v>
      </c>
      <c r="AD73" s="183" t="s">
        <v>100</v>
      </c>
      <c r="AE73" s="183" t="s">
        <v>102</v>
      </c>
    </row>
    <row r="74" spans="1:31" ht="26.85" customHeight="1" x14ac:dyDescent="0.25">
      <c r="B74" s="193" t="s">
        <v>128</v>
      </c>
      <c r="C74" s="193"/>
      <c r="D74" s="193" t="s">
        <v>25</v>
      </c>
      <c r="E74" s="193"/>
      <c r="F74" s="756">
        <f>SUM('Ausgrid Workforce'!F65,'PLUS ES Workforce'!F75)</f>
        <v>2</v>
      </c>
      <c r="G74" s="756">
        <f>SUM('Ausgrid Workforce'!G65,'PLUS ES Workforce'!G75)</f>
        <v>7</v>
      </c>
      <c r="H74" s="756">
        <f>SUM('Ausgrid Workforce'!H65,'PLUS ES Workforce'!H75)</f>
        <v>0</v>
      </c>
      <c r="I74" s="756">
        <f t="shared" ref="I74:I75" si="32">SUM(F74:G74)</f>
        <v>9</v>
      </c>
      <c r="J74" s="688">
        <f>SUM('Ausgrid Workforce'!J65,'PLUS ES Workforce'!J75)</f>
        <v>2</v>
      </c>
      <c r="K74" s="688">
        <f>SUM('Ausgrid Workforce'!K65,'PLUS ES Workforce'!K75)</f>
        <v>7</v>
      </c>
      <c r="L74" s="688">
        <f>SUM('Ausgrid Workforce'!L65,'PLUS ES Workforce'!L75)</f>
        <v>0</v>
      </c>
      <c r="M74" s="688">
        <f t="shared" ref="M74:M78" si="33">SUM(J74:K74)</f>
        <v>9</v>
      </c>
      <c r="N74" s="219">
        <f>'Ausgrid Workforce'!N65+'PLUS ES Workforce'!N75</f>
        <v>2</v>
      </c>
      <c r="O74" s="219">
        <f>'Ausgrid Workforce'!O65+'PLUS ES Workforce'!O75</f>
        <v>8</v>
      </c>
      <c r="P74" s="219">
        <f>'Ausgrid Workforce'!P65+'PLUS ES Workforce'!P75</f>
        <v>10</v>
      </c>
      <c r="Q74" s="219">
        <f>'Ausgrid Workforce'!Q65+'PLUS ES Workforce'!Q75</f>
        <v>2</v>
      </c>
      <c r="R74" s="219">
        <f>'Ausgrid Workforce'!R65+'PLUS ES Workforce'!R75</f>
        <v>9</v>
      </c>
      <c r="S74" s="219">
        <f>'Ausgrid Workforce'!S65+'PLUS ES Workforce'!S75</f>
        <v>11</v>
      </c>
      <c r="T74" s="219">
        <f>'Ausgrid Workforce'!T65+'PLUS ES Workforce'!T75</f>
        <v>3</v>
      </c>
      <c r="U74" s="219">
        <f>'Ausgrid Workforce'!U65+'PLUS ES Workforce'!U75</f>
        <v>9</v>
      </c>
      <c r="V74" s="219">
        <f>'Ausgrid Workforce'!V65+'PLUS ES Workforce'!V75</f>
        <v>12</v>
      </c>
      <c r="W74" s="219">
        <f>'Ausgrid Workforce'!W65+'PLUS ES Workforce'!W75</f>
        <v>2</v>
      </c>
      <c r="X74" s="219">
        <f>'Ausgrid Workforce'!X65+'PLUS ES Workforce'!X75</f>
        <v>11</v>
      </c>
      <c r="Y74" s="219">
        <f>'Ausgrid Workforce'!Y65+'PLUS ES Workforce'!Y75</f>
        <v>13</v>
      </c>
      <c r="Z74" s="219">
        <f>'Ausgrid Workforce'!Z65+'PLUS ES Workforce'!Z75</f>
        <v>2</v>
      </c>
      <c r="AA74" s="219">
        <f>'Ausgrid Workforce'!AA65+'PLUS ES Workforce'!AA75</f>
        <v>10</v>
      </c>
      <c r="AB74" s="219">
        <f>'Ausgrid Workforce'!AB65+'PLUS ES Workforce'!AB75</f>
        <v>12</v>
      </c>
      <c r="AC74" s="219">
        <f>'Ausgrid Workforce'!AC65+'PLUS ES Workforce'!AC75</f>
        <v>2</v>
      </c>
      <c r="AD74" s="219">
        <f>'Ausgrid Workforce'!AD65+'PLUS ES Workforce'!AD75</f>
        <v>10</v>
      </c>
      <c r="AE74" s="219">
        <f>'Ausgrid Workforce'!AE65+'PLUS ES Workforce'!AE75</f>
        <v>12</v>
      </c>
    </row>
    <row r="75" spans="1:31" ht="26.85" customHeight="1" x14ac:dyDescent="0.25">
      <c r="B75" s="193" t="s">
        <v>129</v>
      </c>
      <c r="C75" s="193"/>
      <c r="D75" s="193" t="s">
        <v>25</v>
      </c>
      <c r="E75" s="193"/>
      <c r="F75" s="756">
        <f>SUM('Ausgrid Workforce'!F66,'PLUS ES Workforce'!F76)</f>
        <v>13</v>
      </c>
      <c r="G75" s="756">
        <f>SUM('Ausgrid Workforce'!G66,'PLUS ES Workforce'!G76)</f>
        <v>37</v>
      </c>
      <c r="H75" s="756">
        <f>SUM('Ausgrid Workforce'!H66,'PLUS ES Workforce'!H76)</f>
        <v>0</v>
      </c>
      <c r="I75" s="756">
        <f t="shared" si="32"/>
        <v>50</v>
      </c>
      <c r="J75" s="688">
        <f>SUM('Ausgrid Workforce'!J66,'PLUS ES Workforce'!J76)</f>
        <v>14</v>
      </c>
      <c r="K75" s="688">
        <f>SUM('Ausgrid Workforce'!K66,'PLUS ES Workforce'!K76)</f>
        <v>38</v>
      </c>
      <c r="L75" s="688">
        <f>SUM('Ausgrid Workforce'!L66,'PLUS ES Workforce'!L76)</f>
        <v>0</v>
      </c>
      <c r="M75" s="688">
        <f t="shared" si="33"/>
        <v>52</v>
      </c>
      <c r="N75" s="219">
        <f>'Ausgrid Workforce'!N66+'PLUS ES Workforce'!N76</f>
        <v>10</v>
      </c>
      <c r="O75" s="219">
        <f>'Ausgrid Workforce'!O66+'PLUS ES Workforce'!O76</f>
        <v>37</v>
      </c>
      <c r="P75" s="219">
        <f>'Ausgrid Workforce'!P66+'PLUS ES Workforce'!P76</f>
        <v>47</v>
      </c>
      <c r="Q75" s="372" t="s">
        <v>23</v>
      </c>
      <c r="R75" s="372" t="s">
        <v>23</v>
      </c>
      <c r="S75" s="372" t="s">
        <v>23</v>
      </c>
      <c r="T75" s="372" t="s">
        <v>23</v>
      </c>
      <c r="U75" s="372" t="s">
        <v>23</v>
      </c>
      <c r="V75" s="372" t="s">
        <v>23</v>
      </c>
      <c r="W75" s="372" t="s">
        <v>23</v>
      </c>
      <c r="X75" s="372" t="s">
        <v>23</v>
      </c>
      <c r="Y75" s="372" t="s">
        <v>23</v>
      </c>
      <c r="Z75" s="372" t="s">
        <v>23</v>
      </c>
      <c r="AA75" s="372" t="s">
        <v>23</v>
      </c>
      <c r="AB75" s="372" t="s">
        <v>23</v>
      </c>
      <c r="AC75" s="372" t="s">
        <v>23</v>
      </c>
      <c r="AD75" s="372" t="s">
        <v>23</v>
      </c>
      <c r="AE75" s="372" t="s">
        <v>23</v>
      </c>
    </row>
    <row r="76" spans="1:31" ht="26.85" customHeight="1" x14ac:dyDescent="0.25">
      <c r="B76" s="193" t="s">
        <v>130</v>
      </c>
      <c r="C76" s="193"/>
      <c r="D76" s="193" t="s">
        <v>25</v>
      </c>
      <c r="E76" s="193"/>
      <c r="F76" s="756">
        <f>SUM('Ausgrid Workforce'!F67,'PLUS ES Workforce'!F77)</f>
        <v>45</v>
      </c>
      <c r="G76" s="756">
        <f>SUM('Ausgrid Workforce'!G67,'PLUS ES Workforce'!G77)</f>
        <v>103</v>
      </c>
      <c r="H76" s="756">
        <f>SUM('Ausgrid Workforce'!H67,'PLUS ES Workforce'!H77)</f>
        <v>0</v>
      </c>
      <c r="I76" s="756">
        <f>SUM(F76:G76)</f>
        <v>148</v>
      </c>
      <c r="J76" s="688">
        <f>SUM('Ausgrid Workforce'!J67,'PLUS ES Workforce'!J77)</f>
        <v>46</v>
      </c>
      <c r="K76" s="688">
        <f>SUM('Ausgrid Workforce'!K67,'PLUS ES Workforce'!K77)</f>
        <v>114</v>
      </c>
      <c r="L76" s="688">
        <f>SUM('Ausgrid Workforce'!L67,'PLUS ES Workforce'!L77)</f>
        <v>0</v>
      </c>
      <c r="M76" s="688">
        <f>SUM(J76:K76)</f>
        <v>160</v>
      </c>
      <c r="N76" s="219">
        <f>'Ausgrid Workforce'!N67+'PLUS ES Workforce'!N77</f>
        <v>36</v>
      </c>
      <c r="O76" s="219">
        <f>'Ausgrid Workforce'!O67+'PLUS ES Workforce'!O77</f>
        <v>119</v>
      </c>
      <c r="P76" s="219">
        <f>'Ausgrid Workforce'!P67+'PLUS ES Workforce'!P77</f>
        <v>155</v>
      </c>
      <c r="Q76" s="219">
        <f>'Ausgrid Workforce'!Q67+'PLUS ES Workforce'!Q77</f>
        <v>41</v>
      </c>
      <c r="R76" s="219">
        <f>'Ausgrid Workforce'!R67+'PLUS ES Workforce'!R77</f>
        <v>158</v>
      </c>
      <c r="S76" s="219">
        <f>'Ausgrid Workforce'!S67+'PLUS ES Workforce'!S77</f>
        <v>199</v>
      </c>
      <c r="T76" s="219">
        <f>'Ausgrid Workforce'!T67+'PLUS ES Workforce'!T77</f>
        <v>35</v>
      </c>
      <c r="U76" s="219">
        <f>'Ausgrid Workforce'!U67+'PLUS ES Workforce'!U77</f>
        <v>161</v>
      </c>
      <c r="V76" s="219">
        <f>'Ausgrid Workforce'!V67+'PLUS ES Workforce'!V77</f>
        <v>196</v>
      </c>
      <c r="W76" s="219">
        <f>'Ausgrid Workforce'!W67+'PLUS ES Workforce'!W77</f>
        <v>32</v>
      </c>
      <c r="X76" s="219">
        <f>'Ausgrid Workforce'!X67+'PLUS ES Workforce'!X77</f>
        <v>166</v>
      </c>
      <c r="Y76" s="219">
        <f>'Ausgrid Workforce'!Y67+'PLUS ES Workforce'!Y77</f>
        <v>198</v>
      </c>
      <c r="Z76" s="219">
        <f>'Ausgrid Workforce'!Z67+'PLUS ES Workforce'!Z77</f>
        <v>40</v>
      </c>
      <c r="AA76" s="219">
        <f>'Ausgrid Workforce'!AA67+'PLUS ES Workforce'!AA77</f>
        <v>163</v>
      </c>
      <c r="AB76" s="219">
        <f>'Ausgrid Workforce'!AB67+'PLUS ES Workforce'!AB77</f>
        <v>203</v>
      </c>
      <c r="AC76" s="219">
        <f>'Ausgrid Workforce'!AC67+'PLUS ES Workforce'!AC77</f>
        <v>33</v>
      </c>
      <c r="AD76" s="219">
        <f>'Ausgrid Workforce'!AD67+'PLUS ES Workforce'!AD77</f>
        <v>157</v>
      </c>
      <c r="AE76" s="219">
        <f>'Ausgrid Workforce'!AE67+'PLUS ES Workforce'!AE77</f>
        <v>190</v>
      </c>
    </row>
    <row r="77" spans="1:31" ht="26.85" customHeight="1" x14ac:dyDescent="0.25">
      <c r="B77" s="193" t="s">
        <v>131</v>
      </c>
      <c r="C77" s="193"/>
      <c r="D77" s="193" t="s">
        <v>25</v>
      </c>
      <c r="E77" s="193"/>
      <c r="F77" s="756">
        <f>SUM('Ausgrid Workforce'!F68,'PLUS ES Workforce'!F78)</f>
        <v>47</v>
      </c>
      <c r="G77" s="756">
        <f>SUM('Ausgrid Workforce'!G68,'PLUS ES Workforce'!G78)</f>
        <v>256</v>
      </c>
      <c r="H77" s="756">
        <f>SUM('Ausgrid Workforce'!H68,'PLUS ES Workforce'!H78)</f>
        <v>0</v>
      </c>
      <c r="I77" s="756">
        <f t="shared" ref="I77:I78" si="34">SUM(F77:G77)</f>
        <v>303</v>
      </c>
      <c r="J77" s="688">
        <f>SUM('Ausgrid Workforce'!J68,'PLUS ES Workforce'!J78)</f>
        <v>44</v>
      </c>
      <c r="K77" s="688">
        <f>SUM('Ausgrid Workforce'!K68,'PLUS ES Workforce'!K78)</f>
        <v>271</v>
      </c>
      <c r="L77" s="688">
        <f>SUM('Ausgrid Workforce'!L68,'PLUS ES Workforce'!L78)</f>
        <v>0</v>
      </c>
      <c r="M77" s="688">
        <f t="shared" si="33"/>
        <v>315</v>
      </c>
      <c r="N77" s="219">
        <f>'Ausgrid Workforce'!N68+'PLUS ES Workforce'!N78</f>
        <v>40</v>
      </c>
      <c r="O77" s="219">
        <f>'Ausgrid Workforce'!O68+'PLUS ES Workforce'!O78</f>
        <v>215</v>
      </c>
      <c r="P77" s="219">
        <f>'Ausgrid Workforce'!P68+'PLUS ES Workforce'!P78</f>
        <v>255</v>
      </c>
      <c r="Q77" s="219">
        <f>'Ausgrid Workforce'!Q68+'PLUS ES Workforce'!Q78</f>
        <v>38</v>
      </c>
      <c r="R77" s="219">
        <f>'Ausgrid Workforce'!R68+'PLUS ES Workforce'!R78</f>
        <v>236</v>
      </c>
      <c r="S77" s="219">
        <f>'Ausgrid Workforce'!S68+'PLUS ES Workforce'!S78</f>
        <v>274</v>
      </c>
      <c r="T77" s="219">
        <f>'Ausgrid Workforce'!T68+'PLUS ES Workforce'!T78</f>
        <v>36</v>
      </c>
      <c r="U77" s="219">
        <f>'Ausgrid Workforce'!U68+'PLUS ES Workforce'!U78</f>
        <v>218</v>
      </c>
      <c r="V77" s="219">
        <f>'Ausgrid Workforce'!V68+'PLUS ES Workforce'!V78</f>
        <v>254</v>
      </c>
      <c r="W77" s="219">
        <f>'Ausgrid Workforce'!W68+'PLUS ES Workforce'!W78</f>
        <v>48</v>
      </c>
      <c r="X77" s="219">
        <f>'Ausgrid Workforce'!X68+'PLUS ES Workforce'!X78</f>
        <v>239</v>
      </c>
      <c r="Y77" s="219">
        <f>'Ausgrid Workforce'!Y68+'PLUS ES Workforce'!Y78</f>
        <v>287</v>
      </c>
      <c r="Z77" s="219">
        <f>'Ausgrid Workforce'!Z68+'PLUS ES Workforce'!Z78</f>
        <v>45</v>
      </c>
      <c r="AA77" s="219">
        <f>'Ausgrid Workforce'!AA68+'PLUS ES Workforce'!AA78</f>
        <v>297</v>
      </c>
      <c r="AB77" s="219">
        <f>'Ausgrid Workforce'!AB68+'PLUS ES Workforce'!AB78</f>
        <v>342</v>
      </c>
      <c r="AC77" s="219">
        <f>'Ausgrid Workforce'!AC68+'PLUS ES Workforce'!AC78</f>
        <v>41</v>
      </c>
      <c r="AD77" s="219">
        <f>'Ausgrid Workforce'!AD68+'PLUS ES Workforce'!AD78</f>
        <v>284</v>
      </c>
      <c r="AE77" s="219">
        <f>'Ausgrid Workforce'!AE68+'PLUS ES Workforce'!AE78</f>
        <v>325</v>
      </c>
    </row>
    <row r="78" spans="1:31" ht="26.85" customHeight="1" x14ac:dyDescent="0.25">
      <c r="B78" s="193" t="s">
        <v>132</v>
      </c>
      <c r="C78" s="193"/>
      <c r="D78" s="193" t="s">
        <v>25</v>
      </c>
      <c r="E78" s="193"/>
      <c r="F78" s="756">
        <f>SUM('Ausgrid Workforce'!F69,'PLUS ES Workforce'!F79)</f>
        <v>537</v>
      </c>
      <c r="G78" s="756">
        <f>SUM('Ausgrid Workforce'!G69,'PLUS ES Workforce'!G79)</f>
        <v>2129</v>
      </c>
      <c r="H78" s="756">
        <f>SUM('Ausgrid Workforce'!H69,'PLUS ES Workforce'!H79)</f>
        <v>0</v>
      </c>
      <c r="I78" s="756">
        <f t="shared" si="34"/>
        <v>2666</v>
      </c>
      <c r="J78" s="688">
        <f>SUM('Ausgrid Workforce'!J69,'PLUS ES Workforce'!J79)</f>
        <v>493</v>
      </c>
      <c r="K78" s="688">
        <f>SUM('Ausgrid Workforce'!K69,'PLUS ES Workforce'!K79)</f>
        <v>2076</v>
      </c>
      <c r="L78" s="688">
        <f>SUM('Ausgrid Workforce'!L69,'PLUS ES Workforce'!L79)</f>
        <v>0</v>
      </c>
      <c r="M78" s="688">
        <f t="shared" si="33"/>
        <v>2569</v>
      </c>
      <c r="N78" s="219">
        <f>'Ausgrid Workforce'!N69+'PLUS ES Workforce'!N79</f>
        <v>458</v>
      </c>
      <c r="O78" s="192">
        <f>'Ausgrid Workforce'!O69+'PLUS ES Workforce'!O79</f>
        <v>2064</v>
      </c>
      <c r="P78" s="192">
        <f>'Ausgrid Workforce'!P69+'PLUS ES Workforce'!P79</f>
        <v>2522</v>
      </c>
      <c r="Q78" s="219">
        <f>'Ausgrid Workforce'!Q69+'PLUS ES Workforce'!Q79</f>
        <v>448</v>
      </c>
      <c r="R78" s="192">
        <f>'Ausgrid Workforce'!R69+'PLUS ES Workforce'!R79</f>
        <v>2109</v>
      </c>
      <c r="S78" s="192">
        <f>'Ausgrid Workforce'!S69+'PLUS ES Workforce'!S79</f>
        <v>2557</v>
      </c>
      <c r="T78" s="219">
        <f>'Ausgrid Workforce'!T69+'PLUS ES Workforce'!T79</f>
        <v>409</v>
      </c>
      <c r="U78" s="192">
        <f>'Ausgrid Workforce'!U69+'PLUS ES Workforce'!U79</f>
        <v>2075</v>
      </c>
      <c r="V78" s="192">
        <f>'Ausgrid Workforce'!V69+'PLUS ES Workforce'!V79</f>
        <v>2484</v>
      </c>
      <c r="W78" s="219">
        <f>'Ausgrid Workforce'!W69+'PLUS ES Workforce'!W79</f>
        <v>459</v>
      </c>
      <c r="X78" s="192">
        <f>'Ausgrid Workforce'!X69+'PLUS ES Workforce'!X79</f>
        <v>2199</v>
      </c>
      <c r="Y78" s="192">
        <f>'Ausgrid Workforce'!Y69+'PLUS ES Workforce'!Y79</f>
        <v>2658</v>
      </c>
      <c r="Z78" s="219">
        <f>'Ausgrid Workforce'!Z69+'PLUS ES Workforce'!Z79</f>
        <v>491</v>
      </c>
      <c r="AA78" s="192">
        <f>'Ausgrid Workforce'!AA69+'PLUS ES Workforce'!AA79</f>
        <v>2516</v>
      </c>
      <c r="AB78" s="192">
        <f>'Ausgrid Workforce'!AB69+'PLUS ES Workforce'!AB79</f>
        <v>3007</v>
      </c>
      <c r="AC78" s="219">
        <f>'Ausgrid Workforce'!AC69+'PLUS ES Workforce'!AC79</f>
        <v>518</v>
      </c>
      <c r="AD78" s="192">
        <f>'Ausgrid Workforce'!AD69+'PLUS ES Workforce'!AD79</f>
        <v>2699</v>
      </c>
      <c r="AE78" s="192">
        <f>'Ausgrid Workforce'!AE69+'PLUS ES Workforce'!AE79</f>
        <v>3217</v>
      </c>
    </row>
    <row r="79" spans="1:31" ht="26.85" customHeight="1" x14ac:dyDescent="0.25">
      <c r="B79" s="193" t="s">
        <v>113</v>
      </c>
      <c r="C79" s="345"/>
      <c r="D79" s="193" t="s">
        <v>25</v>
      </c>
      <c r="E79" s="193"/>
      <c r="F79" s="750" t="s">
        <v>23</v>
      </c>
      <c r="G79" s="750" t="s">
        <v>23</v>
      </c>
      <c r="H79" s="456">
        <f>SUM('Ausgrid Workforce'!H70,'PLUS ES Workforce'!H80)</f>
        <v>6</v>
      </c>
      <c r="I79" s="456">
        <f>H79</f>
        <v>6</v>
      </c>
      <c r="J79" s="697" t="s">
        <v>23</v>
      </c>
      <c r="K79" s="697" t="s">
        <v>23</v>
      </c>
      <c r="L79" s="689">
        <f>SUM('Ausgrid Workforce'!L70,'PLUS ES Workforce'!L80)</f>
        <v>6</v>
      </c>
      <c r="M79" s="689">
        <f>L79</f>
        <v>6</v>
      </c>
      <c r="N79" s="372" t="s">
        <v>23</v>
      </c>
      <c r="O79" s="372" t="s">
        <v>23</v>
      </c>
      <c r="P79" s="372" t="s">
        <v>23</v>
      </c>
      <c r="Q79" s="372" t="s">
        <v>23</v>
      </c>
      <c r="R79" s="372" t="s">
        <v>23</v>
      </c>
      <c r="S79" s="372" t="s">
        <v>23</v>
      </c>
      <c r="T79" s="372" t="s">
        <v>23</v>
      </c>
      <c r="U79" s="372" t="s">
        <v>23</v>
      </c>
      <c r="V79" s="372" t="s">
        <v>23</v>
      </c>
      <c r="W79" s="372" t="s">
        <v>23</v>
      </c>
      <c r="X79" s="372" t="s">
        <v>23</v>
      </c>
      <c r="Y79" s="372" t="s">
        <v>23</v>
      </c>
      <c r="Z79" s="372" t="s">
        <v>23</v>
      </c>
      <c r="AA79" s="372" t="s">
        <v>23</v>
      </c>
      <c r="AB79" s="372" t="s">
        <v>23</v>
      </c>
      <c r="AC79" s="372" t="s">
        <v>23</v>
      </c>
      <c r="AD79" s="372" t="s">
        <v>23</v>
      </c>
      <c r="AE79" s="372" t="s">
        <v>23</v>
      </c>
    </row>
    <row r="80" spans="1:31" ht="26.85" customHeight="1" x14ac:dyDescent="0.25">
      <c r="B80" s="231" t="s">
        <v>102</v>
      </c>
      <c r="C80" s="193"/>
      <c r="D80" s="193" t="s">
        <v>25</v>
      </c>
      <c r="E80" s="193"/>
      <c r="F80" s="456">
        <f t="shared" ref="F80:I80" si="35">SUM(F74:F79)</f>
        <v>644</v>
      </c>
      <c r="G80" s="756">
        <f t="shared" si="35"/>
        <v>2532</v>
      </c>
      <c r="H80" s="756">
        <f t="shared" si="35"/>
        <v>6</v>
      </c>
      <c r="I80" s="756">
        <f t="shared" si="35"/>
        <v>3182</v>
      </c>
      <c r="J80" s="689">
        <f t="shared" ref="J80:M80" si="36">SUM(J74:J79)</f>
        <v>599</v>
      </c>
      <c r="K80" s="688">
        <f t="shared" si="36"/>
        <v>2506</v>
      </c>
      <c r="L80" s="688">
        <f t="shared" si="36"/>
        <v>6</v>
      </c>
      <c r="M80" s="688">
        <f t="shared" si="36"/>
        <v>3111</v>
      </c>
      <c r="N80" s="375">
        <f>'Ausgrid Workforce'!N71+'PLUS ES Workforce'!N81</f>
        <v>546</v>
      </c>
      <c r="O80" s="192">
        <f>'Ausgrid Workforce'!O71+'PLUS ES Workforce'!O81</f>
        <v>2443</v>
      </c>
      <c r="P80" s="192">
        <f>'Ausgrid Workforce'!P71+'PLUS ES Workforce'!P81</f>
        <v>2989</v>
      </c>
      <c r="Q80" s="375">
        <f>'Ausgrid Workforce'!Q71+'PLUS ES Workforce'!Q81</f>
        <v>529</v>
      </c>
      <c r="R80" s="192">
        <f>'Ausgrid Workforce'!R71+'PLUS ES Workforce'!R81</f>
        <v>2512</v>
      </c>
      <c r="S80" s="192">
        <f>'Ausgrid Workforce'!S71+'PLUS ES Workforce'!S81</f>
        <v>3041</v>
      </c>
      <c r="T80" s="375">
        <f>'Ausgrid Workforce'!T71+'PLUS ES Workforce'!T81</f>
        <v>483</v>
      </c>
      <c r="U80" s="192">
        <f>'Ausgrid Workforce'!U71+'PLUS ES Workforce'!U81</f>
        <v>2463</v>
      </c>
      <c r="V80" s="192">
        <f>'Ausgrid Workforce'!V71+'PLUS ES Workforce'!V81</f>
        <v>2946</v>
      </c>
      <c r="W80" s="375">
        <f>'Ausgrid Workforce'!W71+'PLUS ES Workforce'!W81</f>
        <v>541</v>
      </c>
      <c r="X80" s="192">
        <f>'Ausgrid Workforce'!X71+'PLUS ES Workforce'!X81</f>
        <v>2615</v>
      </c>
      <c r="Y80" s="192">
        <f>'Ausgrid Workforce'!Y71+'PLUS ES Workforce'!Y81</f>
        <v>3156</v>
      </c>
      <c r="Z80" s="375">
        <f>'Ausgrid Workforce'!Z71+'PLUS ES Workforce'!Z81</f>
        <v>578</v>
      </c>
      <c r="AA80" s="192">
        <f>'Ausgrid Workforce'!AA71+'PLUS ES Workforce'!AA81</f>
        <v>2986</v>
      </c>
      <c r="AB80" s="192">
        <f>'Ausgrid Workforce'!AB71+'PLUS ES Workforce'!AB81</f>
        <v>3564</v>
      </c>
      <c r="AC80" s="375">
        <f>'Ausgrid Workforce'!AC71+'PLUS ES Workforce'!AC81</f>
        <v>594</v>
      </c>
      <c r="AD80" s="192">
        <f>'Ausgrid Workforce'!AD71+'PLUS ES Workforce'!AD81</f>
        <v>3150</v>
      </c>
      <c r="AE80" s="192">
        <f>'Ausgrid Workforce'!AE71+'PLUS ES Workforce'!AE81</f>
        <v>3744</v>
      </c>
    </row>
    <row r="81" spans="2:31" ht="26.85" customHeight="1" x14ac:dyDescent="0.25">
      <c r="B81" s="193" t="s">
        <v>133</v>
      </c>
      <c r="C81" s="193"/>
      <c r="D81" s="193" t="s">
        <v>31</v>
      </c>
      <c r="E81" s="193"/>
      <c r="F81" s="752">
        <f>SUM(F74:F77)/(SUM(F74:G77)+1)</f>
        <v>0.20939334637964774</v>
      </c>
      <c r="G81" s="752">
        <f>1-F81</f>
        <v>0.79060665362035221</v>
      </c>
      <c r="H81" s="750" t="s">
        <v>23</v>
      </c>
      <c r="I81" s="504">
        <f>SUM(F81:G81)</f>
        <v>1</v>
      </c>
      <c r="J81" s="692">
        <f>SUM(J74:J77)/(SUM(J74:K77)+1)</f>
        <v>0.1973929236499069</v>
      </c>
      <c r="K81" s="692">
        <f>1-J81</f>
        <v>0.8026070763500931</v>
      </c>
      <c r="L81" s="697" t="s">
        <v>23</v>
      </c>
      <c r="M81" s="693">
        <f>SUM(J81:K81)</f>
        <v>1</v>
      </c>
      <c r="N81" s="372" t="s">
        <v>23</v>
      </c>
      <c r="O81" s="372" t="s">
        <v>23</v>
      </c>
      <c r="P81" s="372" t="s">
        <v>23</v>
      </c>
      <c r="Q81" s="372" t="s">
        <v>23</v>
      </c>
      <c r="R81" s="372" t="s">
        <v>23</v>
      </c>
      <c r="S81" s="372" t="s">
        <v>23</v>
      </c>
      <c r="T81" s="372" t="s">
        <v>23</v>
      </c>
      <c r="U81" s="372" t="s">
        <v>23</v>
      </c>
      <c r="V81" s="372" t="s">
        <v>23</v>
      </c>
      <c r="W81" s="372" t="s">
        <v>23</v>
      </c>
      <c r="X81" s="372" t="s">
        <v>23</v>
      </c>
      <c r="Y81" s="372" t="s">
        <v>23</v>
      </c>
      <c r="Z81" s="372" t="s">
        <v>23</v>
      </c>
      <c r="AA81" s="372" t="s">
        <v>23</v>
      </c>
      <c r="AB81" s="372" t="s">
        <v>23</v>
      </c>
      <c r="AC81" s="372" t="s">
        <v>23</v>
      </c>
      <c r="AD81" s="372" t="s">
        <v>23</v>
      </c>
      <c r="AE81" s="372" t="s">
        <v>23</v>
      </c>
    </row>
    <row r="82" spans="2:31" ht="26.85" customHeight="1" x14ac:dyDescent="0.25">
      <c r="B82" s="193" t="s">
        <v>134</v>
      </c>
      <c r="C82" s="193"/>
      <c r="D82" s="193" t="s">
        <v>31</v>
      </c>
      <c r="E82" s="193"/>
      <c r="F82" s="504">
        <f>'Ausgrid Workforce'!F73</f>
        <v>0.05</v>
      </c>
      <c r="G82" s="504">
        <f>'Ausgrid Workforce'!G73</f>
        <v>0.95</v>
      </c>
      <c r="H82" s="750" t="s">
        <v>23</v>
      </c>
      <c r="I82" s="504">
        <f>SUM(F82:G82)</f>
        <v>1</v>
      </c>
      <c r="J82" s="693">
        <v>0.04</v>
      </c>
      <c r="K82" s="693">
        <v>0.96</v>
      </c>
      <c r="L82" s="697" t="s">
        <v>23</v>
      </c>
      <c r="M82" s="693">
        <f>SUM(J82:K82)</f>
        <v>1</v>
      </c>
      <c r="N82" s="372" t="s">
        <v>23</v>
      </c>
      <c r="O82" s="372" t="s">
        <v>23</v>
      </c>
      <c r="P82" s="372" t="s">
        <v>23</v>
      </c>
      <c r="Q82" s="372" t="s">
        <v>23</v>
      </c>
      <c r="R82" s="372" t="s">
        <v>23</v>
      </c>
      <c r="S82" s="372" t="s">
        <v>23</v>
      </c>
      <c r="T82" s="372" t="s">
        <v>23</v>
      </c>
      <c r="U82" s="372" t="s">
        <v>23</v>
      </c>
      <c r="V82" s="372" t="s">
        <v>23</v>
      </c>
      <c r="W82" s="372" t="s">
        <v>23</v>
      </c>
      <c r="X82" s="372" t="s">
        <v>23</v>
      </c>
      <c r="Y82" s="372" t="s">
        <v>23</v>
      </c>
      <c r="Z82" s="372" t="s">
        <v>23</v>
      </c>
      <c r="AA82" s="372" t="s">
        <v>23</v>
      </c>
      <c r="AB82" s="372" t="s">
        <v>23</v>
      </c>
      <c r="AC82" s="372" t="s">
        <v>23</v>
      </c>
      <c r="AD82" s="372" t="s">
        <v>23</v>
      </c>
      <c r="AE82" s="372" t="s">
        <v>23</v>
      </c>
    </row>
    <row r="83" spans="2:31" s="46" customFormat="1" ht="26.85" customHeight="1" x14ac:dyDescent="0.25">
      <c r="B83" s="517" t="s">
        <v>135</v>
      </c>
      <c r="C83" s="264"/>
      <c r="D83" s="549"/>
      <c r="E83" s="549"/>
      <c r="F83" s="550"/>
      <c r="G83" s="550"/>
      <c r="H83" s="550"/>
      <c r="I83" s="550"/>
      <c r="J83" s="550"/>
      <c r="K83" s="550"/>
      <c r="L83" s="550"/>
      <c r="M83" s="550"/>
      <c r="N83" s="551"/>
      <c r="O83" s="551"/>
      <c r="P83" s="551"/>
      <c r="Q83" s="551"/>
      <c r="R83" s="551"/>
      <c r="S83" s="551"/>
      <c r="T83" s="551"/>
      <c r="U83" s="551"/>
      <c r="V83" s="551"/>
      <c r="W83" s="551"/>
      <c r="X83" s="551"/>
      <c r="Y83" s="551"/>
      <c r="Z83" s="551"/>
      <c r="AA83" s="551"/>
      <c r="AB83" s="551"/>
      <c r="AC83" s="551"/>
      <c r="AD83" s="551"/>
      <c r="AE83" s="551"/>
    </row>
    <row r="84" spans="2:31" ht="50.1" customHeight="1" x14ac:dyDescent="0.2">
      <c r="B84" s="180"/>
      <c r="C84" s="180"/>
      <c r="D84" s="180"/>
      <c r="E84" s="180"/>
      <c r="F84" s="262"/>
      <c r="G84" s="262"/>
      <c r="H84" s="262"/>
      <c r="I84" s="262"/>
      <c r="J84" s="262"/>
      <c r="K84" s="262"/>
      <c r="L84" s="262"/>
      <c r="M84" s="262"/>
      <c r="N84" s="185"/>
      <c r="O84" s="185"/>
      <c r="P84" s="185"/>
      <c r="Q84" s="185"/>
      <c r="R84" s="185"/>
      <c r="S84" s="185"/>
      <c r="T84" s="185"/>
      <c r="U84" s="185"/>
      <c r="V84" s="185"/>
      <c r="W84" s="185"/>
      <c r="X84" s="185"/>
      <c r="Y84" s="185"/>
      <c r="Z84" s="185"/>
      <c r="AA84" s="185"/>
      <c r="AB84" s="185"/>
      <c r="AC84" s="185"/>
      <c r="AD84" s="185"/>
      <c r="AE84" s="185"/>
    </row>
    <row r="85" spans="2:31" ht="26.85" customHeight="1" x14ac:dyDescent="0.25">
      <c r="B85" s="6" t="s">
        <v>136</v>
      </c>
      <c r="C85" s="6"/>
      <c r="D85" s="7" t="s">
        <v>9</v>
      </c>
      <c r="E85" s="306"/>
      <c r="F85" s="930" t="s">
        <v>10</v>
      </c>
      <c r="G85" s="930"/>
      <c r="H85" s="930"/>
      <c r="I85" s="930"/>
      <c r="J85" s="930" t="s">
        <v>11</v>
      </c>
      <c r="K85" s="930"/>
      <c r="L85" s="930"/>
      <c r="M85" s="930"/>
      <c r="N85" s="920" t="s">
        <v>12</v>
      </c>
      <c r="O85" s="920"/>
      <c r="P85" s="920"/>
      <c r="Q85" s="920" t="s">
        <v>13</v>
      </c>
      <c r="R85" s="920"/>
      <c r="S85" s="920"/>
      <c r="T85" s="920" t="s">
        <v>14</v>
      </c>
      <c r="U85" s="920"/>
      <c r="V85" s="920"/>
      <c r="W85" s="920" t="s">
        <v>15</v>
      </c>
      <c r="X85" s="920"/>
      <c r="Y85" s="920"/>
      <c r="Z85" s="920" t="s">
        <v>16</v>
      </c>
      <c r="AA85" s="920"/>
      <c r="AB85" s="920"/>
      <c r="AC85" s="920" t="s">
        <v>17</v>
      </c>
      <c r="AD85" s="920"/>
      <c r="AE85" s="920"/>
    </row>
    <row r="86" spans="2:31" ht="26.85" customHeight="1" x14ac:dyDescent="0.25">
      <c r="B86" s="231"/>
      <c r="C86" s="231"/>
      <c r="D86" s="231"/>
      <c r="E86" s="231"/>
      <c r="F86" s="532" t="s">
        <v>99</v>
      </c>
      <c r="G86" s="532" t="s">
        <v>100</v>
      </c>
      <c r="H86" s="532" t="s">
        <v>101</v>
      </c>
      <c r="I86" s="532" t="s">
        <v>102</v>
      </c>
      <c r="J86" s="691" t="s">
        <v>99</v>
      </c>
      <c r="K86" s="691" t="s">
        <v>100</v>
      </c>
      <c r="L86" s="691" t="s">
        <v>101</v>
      </c>
      <c r="M86" s="691" t="s">
        <v>102</v>
      </c>
      <c r="N86" s="183" t="s">
        <v>99</v>
      </c>
      <c r="O86" s="183" t="s">
        <v>100</v>
      </c>
      <c r="P86" s="183" t="s">
        <v>102</v>
      </c>
      <c r="Q86" s="183" t="s">
        <v>99</v>
      </c>
      <c r="R86" s="183" t="s">
        <v>100</v>
      </c>
      <c r="S86" s="183" t="s">
        <v>102</v>
      </c>
      <c r="T86" s="183" t="s">
        <v>99</v>
      </c>
      <c r="U86" s="183" t="s">
        <v>100</v>
      </c>
      <c r="V86" s="183" t="s">
        <v>102</v>
      </c>
      <c r="W86" s="183" t="s">
        <v>99</v>
      </c>
      <c r="X86" s="183" t="s">
        <v>100</v>
      </c>
      <c r="Y86" s="183" t="s">
        <v>102</v>
      </c>
      <c r="Z86" s="183" t="s">
        <v>99</v>
      </c>
      <c r="AA86" s="183" t="s">
        <v>100</v>
      </c>
      <c r="AB86" s="183" t="s">
        <v>102</v>
      </c>
      <c r="AC86" s="183" t="s">
        <v>99</v>
      </c>
      <c r="AD86" s="183" t="s">
        <v>100</v>
      </c>
      <c r="AE86" s="183" t="s">
        <v>102</v>
      </c>
    </row>
    <row r="87" spans="2:31" ht="26.85" customHeight="1" x14ac:dyDescent="0.25">
      <c r="B87" s="193" t="s">
        <v>137</v>
      </c>
      <c r="C87" s="193"/>
      <c r="D87" s="193" t="s">
        <v>25</v>
      </c>
      <c r="E87" s="193"/>
      <c r="F87" s="456">
        <f>SUM('Ausgrid Workforce'!F77,'PLUS ES Workforce'!F87)</f>
        <v>100</v>
      </c>
      <c r="G87" s="456">
        <f>SUM('Ausgrid Workforce'!G77,'PLUS ES Workforce'!G87)</f>
        <v>133</v>
      </c>
      <c r="H87" s="750" t="s">
        <v>23</v>
      </c>
      <c r="I87" s="456">
        <f>SUM(F87:G87)</f>
        <v>233</v>
      </c>
      <c r="J87" s="689">
        <f>SUM('Ausgrid Workforce'!J77,'PLUS ES Workforce'!J87)</f>
        <v>90</v>
      </c>
      <c r="K87" s="689">
        <f>SUM('Ausgrid Workforce'!K77,'PLUS ES Workforce'!K87)</f>
        <v>191</v>
      </c>
      <c r="L87" s="697" t="s">
        <v>23</v>
      </c>
      <c r="M87" s="689">
        <f>SUM(J87:K87)</f>
        <v>281</v>
      </c>
      <c r="N87" s="219">
        <f>'Ausgrid Workforce'!N77+'PLUS ES Workforce'!N87</f>
        <v>106</v>
      </c>
      <c r="O87" s="219">
        <f>'Ausgrid Workforce'!O77+'PLUS ES Workforce'!O87</f>
        <v>205</v>
      </c>
      <c r="P87" s="219">
        <f>'Ausgrid Workforce'!P77+'PLUS ES Workforce'!P87</f>
        <v>311</v>
      </c>
      <c r="Q87" s="219">
        <f>'Ausgrid Workforce'!Q77+'PLUS ES Workforce'!Q87</f>
        <v>87</v>
      </c>
      <c r="R87" s="219">
        <f>'Ausgrid Workforce'!R77+'PLUS ES Workforce'!R87</f>
        <v>169</v>
      </c>
      <c r="S87" s="219">
        <f>'Ausgrid Workforce'!S77+'PLUS ES Workforce'!S87</f>
        <v>256</v>
      </c>
      <c r="T87" s="219">
        <f>'Ausgrid Workforce'!T77+'PLUS ES Workforce'!T87</f>
        <v>38</v>
      </c>
      <c r="U87" s="219">
        <f>'Ausgrid Workforce'!U77+'PLUS ES Workforce'!U87</f>
        <v>66</v>
      </c>
      <c r="V87" s="219">
        <f>'Ausgrid Workforce'!V77+'PLUS ES Workforce'!V87</f>
        <v>104</v>
      </c>
      <c r="W87" s="219">
        <f>'Ausgrid Workforce'!W77+'PLUS ES Workforce'!W87</f>
        <v>81</v>
      </c>
      <c r="X87" s="219">
        <f>'Ausgrid Workforce'!X77+'PLUS ES Workforce'!X87</f>
        <v>91</v>
      </c>
      <c r="Y87" s="219">
        <f>'Ausgrid Workforce'!Y77+'PLUS ES Workforce'!Y87</f>
        <v>172</v>
      </c>
      <c r="Z87" s="219">
        <f>'Ausgrid Workforce'!Z77+'PLUS ES Workforce'!Z87</f>
        <v>63</v>
      </c>
      <c r="AA87" s="219">
        <f>'Ausgrid Workforce'!AA77+'PLUS ES Workforce'!AA87</f>
        <v>63</v>
      </c>
      <c r="AB87" s="219">
        <f>'Ausgrid Workforce'!AB77+'PLUS ES Workforce'!AB87</f>
        <v>126</v>
      </c>
      <c r="AC87" s="219">
        <f>'Ausgrid Workforce'!AC77+'PLUS ES Workforce'!AC87</f>
        <v>55</v>
      </c>
      <c r="AD87" s="219">
        <f>'Ausgrid Workforce'!AD77+'PLUS ES Workforce'!AD87</f>
        <v>143</v>
      </c>
      <c r="AE87" s="219">
        <f>'Ausgrid Workforce'!AE77+'PLUS ES Workforce'!AE87</f>
        <v>198</v>
      </c>
    </row>
    <row r="88" spans="2:31" ht="26.85" customHeight="1" x14ac:dyDescent="0.25">
      <c r="B88" s="193" t="s">
        <v>138</v>
      </c>
      <c r="C88" s="193"/>
      <c r="D88" s="193" t="s">
        <v>25</v>
      </c>
      <c r="E88" s="193"/>
      <c r="F88" s="456">
        <f>SUM('Ausgrid Workforce'!F78,'PLUS ES Workforce'!F88)</f>
        <v>53</v>
      </c>
      <c r="G88" s="456">
        <f>SUM('Ausgrid Workforce'!G78,'PLUS ES Workforce'!G88)</f>
        <v>251</v>
      </c>
      <c r="H88" s="750" t="s">
        <v>23</v>
      </c>
      <c r="I88" s="456">
        <f>SUM(F88:G88)</f>
        <v>304</v>
      </c>
      <c r="J88" s="689">
        <f>SUM('Ausgrid Workforce'!J78,'PLUS ES Workforce'!J88)</f>
        <v>63</v>
      </c>
      <c r="K88" s="689">
        <f>SUM('Ausgrid Workforce'!K78,'PLUS ES Workforce'!K88)</f>
        <v>344</v>
      </c>
      <c r="L88" s="697" t="s">
        <v>23</v>
      </c>
      <c r="M88" s="689">
        <f>SUM(J88:K88)</f>
        <v>407</v>
      </c>
      <c r="N88" s="219">
        <f>'Ausgrid Workforce'!N78+'PLUS ES Workforce'!N88</f>
        <v>79</v>
      </c>
      <c r="O88" s="219">
        <f>'Ausgrid Workforce'!O78+'PLUS ES Workforce'!O88</f>
        <v>383</v>
      </c>
      <c r="P88" s="219">
        <f>'Ausgrid Workforce'!P78+'PLUS ES Workforce'!P88</f>
        <v>462</v>
      </c>
      <c r="Q88" s="219">
        <f>'Ausgrid Workforce'!Q78+'PLUS ES Workforce'!Q88</f>
        <v>28</v>
      </c>
      <c r="R88" s="219">
        <f>'Ausgrid Workforce'!R78+'PLUS ES Workforce'!R88</f>
        <v>179</v>
      </c>
      <c r="S88" s="219">
        <f>'Ausgrid Workforce'!S78+'PLUS ES Workforce'!S88</f>
        <v>207</v>
      </c>
      <c r="T88" s="219">
        <f>'Ausgrid Workforce'!T78+'PLUS ES Workforce'!T88</f>
        <v>43</v>
      </c>
      <c r="U88" s="219">
        <f>'Ausgrid Workforce'!U78+'PLUS ES Workforce'!U88</f>
        <v>177</v>
      </c>
      <c r="V88" s="219">
        <f>'Ausgrid Workforce'!V78+'PLUS ES Workforce'!V88</f>
        <v>220</v>
      </c>
      <c r="W88" s="219">
        <f>'Ausgrid Workforce'!W78+'PLUS ES Workforce'!W88</f>
        <v>42</v>
      </c>
      <c r="X88" s="219">
        <f>'Ausgrid Workforce'!X78+'PLUS ES Workforce'!X88</f>
        <v>242</v>
      </c>
      <c r="Y88" s="219">
        <f>'Ausgrid Workforce'!Y78+'PLUS ES Workforce'!Y88</f>
        <v>284</v>
      </c>
      <c r="Z88" s="219">
        <f>'Ausgrid Workforce'!Z78+'PLUS ES Workforce'!Z88</f>
        <v>33</v>
      </c>
      <c r="AA88" s="219">
        <f>'Ausgrid Workforce'!AA78+'PLUS ES Workforce'!AA88</f>
        <v>139</v>
      </c>
      <c r="AB88" s="219">
        <f>'Ausgrid Workforce'!AB78+'PLUS ES Workforce'!AB88</f>
        <v>172</v>
      </c>
      <c r="AC88" s="219">
        <f>'Ausgrid Workforce'!AC78+'PLUS ES Workforce'!AC88</f>
        <v>133</v>
      </c>
      <c r="AD88" s="219">
        <f>'Ausgrid Workforce'!AD78+'PLUS ES Workforce'!AD88</f>
        <v>302</v>
      </c>
      <c r="AE88" s="219">
        <f>'Ausgrid Workforce'!AE78+'PLUS ES Workforce'!AE88</f>
        <v>435</v>
      </c>
    </row>
    <row r="89" spans="2:31" ht="26.85" customHeight="1" x14ac:dyDescent="0.25">
      <c r="B89" s="193" t="s">
        <v>113</v>
      </c>
      <c r="C89" s="345"/>
      <c r="D89" s="193" t="s">
        <v>25</v>
      </c>
      <c r="E89" s="193"/>
      <c r="F89" s="750" t="s">
        <v>23</v>
      </c>
      <c r="G89" s="750" t="s">
        <v>23</v>
      </c>
      <c r="H89" s="456">
        <f>SUM('Ausgrid Workforce'!H79,'PLUS ES Workforce'!H80)</f>
        <v>0</v>
      </c>
      <c r="I89" s="456">
        <f>H89</f>
        <v>0</v>
      </c>
      <c r="J89" s="697" t="s">
        <v>23</v>
      </c>
      <c r="K89" s="697" t="s">
        <v>23</v>
      </c>
      <c r="L89" s="689">
        <f>SUM('Ausgrid Workforce'!L79,'PLUS ES Workforce'!L80)</f>
        <v>2</v>
      </c>
      <c r="M89" s="689">
        <f>L89</f>
        <v>2</v>
      </c>
      <c r="N89" s="372" t="s">
        <v>23</v>
      </c>
      <c r="O89" s="372" t="s">
        <v>23</v>
      </c>
      <c r="P89" s="372" t="s">
        <v>23</v>
      </c>
      <c r="Q89" s="372" t="s">
        <v>23</v>
      </c>
      <c r="R89" s="372" t="s">
        <v>23</v>
      </c>
      <c r="S89" s="372" t="s">
        <v>23</v>
      </c>
      <c r="T89" s="372" t="s">
        <v>23</v>
      </c>
      <c r="U89" s="372" t="s">
        <v>23</v>
      </c>
      <c r="V89" s="372" t="s">
        <v>23</v>
      </c>
      <c r="W89" s="372" t="s">
        <v>23</v>
      </c>
      <c r="X89" s="372" t="s">
        <v>23</v>
      </c>
      <c r="Y89" s="372" t="s">
        <v>23</v>
      </c>
      <c r="Z89" s="372" t="s">
        <v>23</v>
      </c>
      <c r="AA89" s="372" t="s">
        <v>23</v>
      </c>
      <c r="AB89" s="372" t="s">
        <v>23</v>
      </c>
      <c r="AC89" s="372" t="s">
        <v>23</v>
      </c>
      <c r="AD89" s="372" t="s">
        <v>23</v>
      </c>
      <c r="AE89" s="372" t="s">
        <v>23</v>
      </c>
    </row>
    <row r="90" spans="2:31" ht="26.85" customHeight="1" x14ac:dyDescent="0.25">
      <c r="B90" s="231" t="s">
        <v>102</v>
      </c>
      <c r="C90" s="193"/>
      <c r="D90" s="193" t="s">
        <v>25</v>
      </c>
      <c r="E90" s="193"/>
      <c r="F90" s="456">
        <f t="shared" ref="F90:I90" si="37">SUM(F87:F89)</f>
        <v>153</v>
      </c>
      <c r="G90" s="456">
        <f t="shared" si="37"/>
        <v>384</v>
      </c>
      <c r="H90" s="456">
        <f t="shared" si="37"/>
        <v>0</v>
      </c>
      <c r="I90" s="456">
        <f t="shared" si="37"/>
        <v>537</v>
      </c>
      <c r="J90" s="689">
        <f t="shared" ref="J90:M90" si="38">SUM(J87:J89)</f>
        <v>153</v>
      </c>
      <c r="K90" s="689">
        <f t="shared" si="38"/>
        <v>535</v>
      </c>
      <c r="L90" s="689">
        <f t="shared" si="38"/>
        <v>2</v>
      </c>
      <c r="M90" s="689">
        <f t="shared" si="38"/>
        <v>690</v>
      </c>
      <c r="N90" s="372" t="s">
        <v>23</v>
      </c>
      <c r="O90" s="372" t="s">
        <v>23</v>
      </c>
      <c r="P90" s="372" t="s">
        <v>23</v>
      </c>
      <c r="Q90" s="372" t="s">
        <v>23</v>
      </c>
      <c r="R90" s="372" t="s">
        <v>23</v>
      </c>
      <c r="S90" s="372" t="s">
        <v>23</v>
      </c>
      <c r="T90" s="372" t="s">
        <v>23</v>
      </c>
      <c r="U90" s="372" t="s">
        <v>23</v>
      </c>
      <c r="V90" s="372" t="s">
        <v>23</v>
      </c>
      <c r="W90" s="372" t="s">
        <v>23</v>
      </c>
      <c r="X90" s="372" t="s">
        <v>23</v>
      </c>
      <c r="Y90" s="372" t="s">
        <v>23</v>
      </c>
      <c r="Z90" s="372" t="s">
        <v>23</v>
      </c>
      <c r="AA90" s="372" t="s">
        <v>23</v>
      </c>
      <c r="AB90" s="372" t="s">
        <v>23</v>
      </c>
      <c r="AC90" s="372" t="s">
        <v>23</v>
      </c>
      <c r="AD90" s="372" t="s">
        <v>23</v>
      </c>
      <c r="AE90" s="372" t="s">
        <v>23</v>
      </c>
    </row>
    <row r="91" spans="2:31" ht="26.85" customHeight="1" x14ac:dyDescent="0.25">
      <c r="B91" s="231" t="s">
        <v>139</v>
      </c>
      <c r="C91" s="231"/>
      <c r="D91" s="231"/>
      <c r="E91" s="193"/>
      <c r="F91" s="456"/>
      <c r="G91" s="456"/>
      <c r="H91" s="456"/>
      <c r="I91" s="456"/>
      <c r="J91" s="689"/>
      <c r="K91" s="689"/>
      <c r="L91" s="689"/>
      <c r="M91" s="689"/>
      <c r="N91" s="372"/>
      <c r="O91" s="372"/>
      <c r="P91" s="372"/>
      <c r="Q91" s="372"/>
      <c r="R91" s="372"/>
      <c r="S91" s="372"/>
      <c r="T91" s="372"/>
      <c r="U91" s="372"/>
      <c r="V91" s="372"/>
      <c r="W91" s="372"/>
      <c r="X91" s="372"/>
      <c r="Y91" s="372"/>
      <c r="Z91" s="372"/>
      <c r="AA91" s="372"/>
      <c r="AB91" s="372"/>
      <c r="AC91" s="372"/>
      <c r="AD91" s="372"/>
      <c r="AE91" s="372"/>
    </row>
    <row r="92" spans="2:31" ht="26.85" customHeight="1" x14ac:dyDescent="0.25">
      <c r="B92" s="345" t="s">
        <v>108</v>
      </c>
      <c r="C92" s="345"/>
      <c r="D92" s="248" t="s">
        <v>25</v>
      </c>
      <c r="E92" s="193"/>
      <c r="F92" s="456">
        <f>SUM('Ausgrid Workforce'!F82,'PLUS ES Workforce'!F92)</f>
        <v>53</v>
      </c>
      <c r="G92" s="456">
        <f>SUM('Ausgrid Workforce'!G82,'PLUS ES Workforce'!G92)</f>
        <v>115</v>
      </c>
      <c r="H92" s="750" t="s">
        <v>23</v>
      </c>
      <c r="I92" s="456">
        <f t="shared" ref="I92:I97" si="39">SUM(F92:H92)</f>
        <v>168</v>
      </c>
      <c r="J92" s="689">
        <f>SUM('Ausgrid Workforce'!J82,'PLUS ES Workforce'!J92)</f>
        <v>55</v>
      </c>
      <c r="K92" s="689">
        <f>SUM('Ausgrid Workforce'!K82,'PLUS ES Workforce'!K92)</f>
        <v>178</v>
      </c>
      <c r="L92" s="697" t="s">
        <v>23</v>
      </c>
      <c r="M92" s="689">
        <f t="shared" ref="M92:M97" si="40">SUM(J92:L92)</f>
        <v>233</v>
      </c>
      <c r="N92" s="372" t="s">
        <v>23</v>
      </c>
      <c r="O92" s="372" t="s">
        <v>23</v>
      </c>
      <c r="P92" s="372" t="s">
        <v>23</v>
      </c>
      <c r="Q92" s="372" t="s">
        <v>23</v>
      </c>
      <c r="R92" s="372" t="s">
        <v>23</v>
      </c>
      <c r="S92" s="372" t="s">
        <v>23</v>
      </c>
      <c r="T92" s="372" t="s">
        <v>23</v>
      </c>
      <c r="U92" s="372" t="s">
        <v>23</v>
      </c>
      <c r="V92" s="372" t="s">
        <v>23</v>
      </c>
      <c r="W92" s="372" t="s">
        <v>23</v>
      </c>
      <c r="X92" s="372" t="s">
        <v>23</v>
      </c>
      <c r="Y92" s="372" t="s">
        <v>23</v>
      </c>
      <c r="Z92" s="372" t="s">
        <v>23</v>
      </c>
      <c r="AA92" s="372" t="s">
        <v>23</v>
      </c>
      <c r="AB92" s="372" t="s">
        <v>23</v>
      </c>
      <c r="AC92" s="372" t="s">
        <v>23</v>
      </c>
      <c r="AD92" s="372" t="s">
        <v>23</v>
      </c>
      <c r="AE92" s="372" t="s">
        <v>23</v>
      </c>
    </row>
    <row r="93" spans="2:31" ht="26.85" customHeight="1" x14ac:dyDescent="0.25">
      <c r="B93" s="345" t="s">
        <v>109</v>
      </c>
      <c r="C93" s="345"/>
      <c r="D93" s="248" t="s">
        <v>25</v>
      </c>
      <c r="E93" s="193"/>
      <c r="F93" s="456">
        <f>SUM('Ausgrid Workforce'!F83,'PLUS ES Workforce'!F93)</f>
        <v>96</v>
      </c>
      <c r="G93" s="456">
        <f>SUM('Ausgrid Workforce'!G83,'PLUS ES Workforce'!G93)</f>
        <v>265</v>
      </c>
      <c r="H93" s="750" t="s">
        <v>23</v>
      </c>
      <c r="I93" s="456">
        <f t="shared" si="39"/>
        <v>361</v>
      </c>
      <c r="J93" s="689">
        <f>SUM('Ausgrid Workforce'!J83,'PLUS ES Workforce'!J93)</f>
        <v>92</v>
      </c>
      <c r="K93" s="689">
        <f>SUM('Ausgrid Workforce'!K83,'PLUS ES Workforce'!K93)</f>
        <v>353</v>
      </c>
      <c r="L93" s="697" t="s">
        <v>23</v>
      </c>
      <c r="M93" s="689">
        <f t="shared" si="40"/>
        <v>445</v>
      </c>
      <c r="N93" s="372" t="s">
        <v>23</v>
      </c>
      <c r="O93" s="372" t="s">
        <v>23</v>
      </c>
      <c r="P93" s="372" t="s">
        <v>23</v>
      </c>
      <c r="Q93" s="372" t="s">
        <v>23</v>
      </c>
      <c r="R93" s="372" t="s">
        <v>23</v>
      </c>
      <c r="S93" s="372" t="s">
        <v>23</v>
      </c>
      <c r="T93" s="372" t="s">
        <v>23</v>
      </c>
      <c r="U93" s="372" t="s">
        <v>23</v>
      </c>
      <c r="V93" s="372" t="s">
        <v>23</v>
      </c>
      <c r="W93" s="372" t="s">
        <v>23</v>
      </c>
      <c r="X93" s="372" t="s">
        <v>23</v>
      </c>
      <c r="Y93" s="372" t="s">
        <v>23</v>
      </c>
      <c r="Z93" s="372" t="s">
        <v>23</v>
      </c>
      <c r="AA93" s="372" t="s">
        <v>23</v>
      </c>
      <c r="AB93" s="372" t="s">
        <v>23</v>
      </c>
      <c r="AC93" s="372" t="s">
        <v>23</v>
      </c>
      <c r="AD93" s="372" t="s">
        <v>23</v>
      </c>
      <c r="AE93" s="372" t="s">
        <v>23</v>
      </c>
    </row>
    <row r="94" spans="2:31" ht="26.85" customHeight="1" x14ac:dyDescent="0.25">
      <c r="B94" s="345" t="s">
        <v>110</v>
      </c>
      <c r="C94" s="345"/>
      <c r="D94" s="248" t="s">
        <v>25</v>
      </c>
      <c r="E94" s="193"/>
      <c r="F94" s="456">
        <f>SUM('Ausgrid Workforce'!F84,'PLUS ES Workforce'!F94)</f>
        <v>2</v>
      </c>
      <c r="G94" s="456">
        <f>SUM('Ausgrid Workforce'!G84,'PLUS ES Workforce'!G94)</f>
        <v>3</v>
      </c>
      <c r="H94" s="750" t="s">
        <v>23</v>
      </c>
      <c r="I94" s="456">
        <f t="shared" si="39"/>
        <v>5</v>
      </c>
      <c r="J94" s="689">
        <f>SUM('Ausgrid Workforce'!J84,'PLUS ES Workforce'!J94)</f>
        <v>6</v>
      </c>
      <c r="K94" s="689">
        <f>SUM('Ausgrid Workforce'!K84,'PLUS ES Workforce'!K94)</f>
        <v>4</v>
      </c>
      <c r="L94" s="697" t="s">
        <v>23</v>
      </c>
      <c r="M94" s="689">
        <f t="shared" si="40"/>
        <v>10</v>
      </c>
      <c r="N94" s="372" t="s">
        <v>23</v>
      </c>
      <c r="O94" s="372" t="s">
        <v>23</v>
      </c>
      <c r="P94" s="372" t="s">
        <v>23</v>
      </c>
      <c r="Q94" s="372" t="s">
        <v>23</v>
      </c>
      <c r="R94" s="372" t="s">
        <v>23</v>
      </c>
      <c r="S94" s="372" t="s">
        <v>23</v>
      </c>
      <c r="T94" s="372" t="s">
        <v>23</v>
      </c>
      <c r="U94" s="372" t="s">
        <v>23</v>
      </c>
      <c r="V94" s="372" t="s">
        <v>23</v>
      </c>
      <c r="W94" s="372" t="s">
        <v>23</v>
      </c>
      <c r="X94" s="372" t="s">
        <v>23</v>
      </c>
      <c r="Y94" s="372" t="s">
        <v>23</v>
      </c>
      <c r="Z94" s="372" t="s">
        <v>23</v>
      </c>
      <c r="AA94" s="372" t="s">
        <v>23</v>
      </c>
      <c r="AB94" s="372" t="s">
        <v>23</v>
      </c>
      <c r="AC94" s="372" t="s">
        <v>23</v>
      </c>
      <c r="AD94" s="372" t="s">
        <v>23</v>
      </c>
      <c r="AE94" s="372" t="s">
        <v>23</v>
      </c>
    </row>
    <row r="95" spans="2:31" ht="26.85" customHeight="1" x14ac:dyDescent="0.25">
      <c r="B95" s="345" t="s">
        <v>111</v>
      </c>
      <c r="C95" s="345"/>
      <c r="D95" s="248" t="s">
        <v>25</v>
      </c>
      <c r="E95" s="193"/>
      <c r="F95" s="456">
        <f>'PLUS ES Workforce'!F95</f>
        <v>2</v>
      </c>
      <c r="G95" s="456">
        <f>'PLUS ES Workforce'!G95</f>
        <v>1</v>
      </c>
      <c r="H95" s="750" t="s">
        <v>23</v>
      </c>
      <c r="I95" s="456">
        <f t="shared" si="39"/>
        <v>3</v>
      </c>
      <c r="J95" s="689" t="str">
        <f>'PLUS ES Workforce'!J95</f>
        <v>-</v>
      </c>
      <c r="K95" s="689" t="str">
        <f>'PLUS ES Workforce'!K95</f>
        <v>-</v>
      </c>
      <c r="L95" s="697" t="s">
        <v>23</v>
      </c>
      <c r="M95" s="689">
        <f t="shared" si="40"/>
        <v>0</v>
      </c>
      <c r="N95" s="372" t="s">
        <v>23</v>
      </c>
      <c r="O95" s="372" t="s">
        <v>23</v>
      </c>
      <c r="P95" s="372" t="s">
        <v>23</v>
      </c>
      <c r="Q95" s="372" t="s">
        <v>23</v>
      </c>
      <c r="R95" s="372" t="s">
        <v>23</v>
      </c>
      <c r="S95" s="372" t="s">
        <v>23</v>
      </c>
      <c r="T95" s="372" t="s">
        <v>23</v>
      </c>
      <c r="U95" s="372" t="s">
        <v>23</v>
      </c>
      <c r="V95" s="372" t="s">
        <v>23</v>
      </c>
      <c r="W95" s="372" t="s">
        <v>23</v>
      </c>
      <c r="X95" s="372" t="s">
        <v>23</v>
      </c>
      <c r="Y95" s="372" t="s">
        <v>23</v>
      </c>
      <c r="Z95" s="372" t="s">
        <v>23</v>
      </c>
      <c r="AA95" s="372" t="s">
        <v>23</v>
      </c>
      <c r="AB95" s="372" t="s">
        <v>23</v>
      </c>
      <c r="AC95" s="372" t="s">
        <v>23</v>
      </c>
      <c r="AD95" s="372" t="s">
        <v>23</v>
      </c>
      <c r="AE95" s="372" t="s">
        <v>23</v>
      </c>
    </row>
    <row r="96" spans="2:31" ht="26.85" customHeight="1" x14ac:dyDescent="0.25">
      <c r="B96" s="345" t="s">
        <v>112</v>
      </c>
      <c r="C96" s="345"/>
      <c r="D96" s="248" t="s">
        <v>25</v>
      </c>
      <c r="E96" s="193"/>
      <c r="F96" s="456" t="str">
        <f>'PLUS ES Workforce'!F96</f>
        <v>-</v>
      </c>
      <c r="G96" s="456" t="str">
        <f>'PLUS ES Workforce'!G96</f>
        <v>-</v>
      </c>
      <c r="H96" s="750" t="s">
        <v>23</v>
      </c>
      <c r="I96" s="456">
        <f t="shared" si="39"/>
        <v>0</v>
      </c>
      <c r="J96" s="689" t="str">
        <f>'PLUS ES Workforce'!J96</f>
        <v>-</v>
      </c>
      <c r="K96" s="689" t="str">
        <f>'PLUS ES Workforce'!K96</f>
        <v>-</v>
      </c>
      <c r="L96" s="697" t="s">
        <v>23</v>
      </c>
      <c r="M96" s="689">
        <f t="shared" si="40"/>
        <v>0</v>
      </c>
      <c r="N96" s="372" t="s">
        <v>23</v>
      </c>
      <c r="O96" s="372" t="s">
        <v>23</v>
      </c>
      <c r="P96" s="372" t="s">
        <v>23</v>
      </c>
      <c r="Q96" s="372" t="s">
        <v>23</v>
      </c>
      <c r="R96" s="372" t="s">
        <v>23</v>
      </c>
      <c r="S96" s="372" t="s">
        <v>23</v>
      </c>
      <c r="T96" s="372" t="s">
        <v>23</v>
      </c>
      <c r="U96" s="372" t="s">
        <v>23</v>
      </c>
      <c r="V96" s="372" t="s">
        <v>23</v>
      </c>
      <c r="W96" s="372" t="s">
        <v>23</v>
      </c>
      <c r="X96" s="372" t="s">
        <v>23</v>
      </c>
      <c r="Y96" s="372" t="s">
        <v>23</v>
      </c>
      <c r="Z96" s="372" t="s">
        <v>23</v>
      </c>
      <c r="AA96" s="372" t="s">
        <v>23</v>
      </c>
      <c r="AB96" s="372" t="s">
        <v>23</v>
      </c>
      <c r="AC96" s="372" t="s">
        <v>23</v>
      </c>
      <c r="AD96" s="372" t="s">
        <v>23</v>
      </c>
      <c r="AE96" s="372" t="s">
        <v>23</v>
      </c>
    </row>
    <row r="97" spans="2:31" ht="26.85" customHeight="1" x14ac:dyDescent="0.25">
      <c r="B97" s="345" t="s">
        <v>113</v>
      </c>
      <c r="C97" s="345"/>
      <c r="D97" s="193" t="s">
        <v>25</v>
      </c>
      <c r="E97" s="193"/>
      <c r="F97" s="750" t="s">
        <v>23</v>
      </c>
      <c r="G97" s="750" t="s">
        <v>23</v>
      </c>
      <c r="H97" s="456">
        <f>SUM('Ausgrid Workforce'!H85,'PLUS ES Workforce'!H97)</f>
        <v>0</v>
      </c>
      <c r="I97" s="456">
        <f t="shared" si="39"/>
        <v>0</v>
      </c>
      <c r="J97" s="697" t="s">
        <v>23</v>
      </c>
      <c r="K97" s="697" t="s">
        <v>23</v>
      </c>
      <c r="L97" s="689">
        <f>SUM('Ausgrid Workforce'!L85,'PLUS ES Workforce'!L97)</f>
        <v>2</v>
      </c>
      <c r="M97" s="689">
        <f t="shared" si="40"/>
        <v>2</v>
      </c>
      <c r="N97" s="372" t="s">
        <v>23</v>
      </c>
      <c r="O97" s="372" t="s">
        <v>23</v>
      </c>
      <c r="P97" s="372" t="s">
        <v>23</v>
      </c>
      <c r="Q97" s="372" t="s">
        <v>23</v>
      </c>
      <c r="R97" s="372" t="s">
        <v>23</v>
      </c>
      <c r="S97" s="372" t="s">
        <v>23</v>
      </c>
      <c r="T97" s="372" t="s">
        <v>23</v>
      </c>
      <c r="U97" s="372" t="s">
        <v>23</v>
      </c>
      <c r="V97" s="372" t="s">
        <v>23</v>
      </c>
      <c r="W97" s="372" t="s">
        <v>23</v>
      </c>
      <c r="X97" s="372" t="s">
        <v>23</v>
      </c>
      <c r="Y97" s="372" t="s">
        <v>23</v>
      </c>
      <c r="Z97" s="372" t="s">
        <v>23</v>
      </c>
      <c r="AA97" s="372" t="s">
        <v>23</v>
      </c>
      <c r="AB97" s="372" t="s">
        <v>23</v>
      </c>
      <c r="AC97" s="372" t="s">
        <v>23</v>
      </c>
      <c r="AD97" s="372" t="s">
        <v>23</v>
      </c>
      <c r="AE97" s="372" t="s">
        <v>23</v>
      </c>
    </row>
    <row r="98" spans="2:31" ht="26.85" customHeight="1" x14ac:dyDescent="0.25">
      <c r="B98" s="345" t="s">
        <v>102</v>
      </c>
      <c r="C98" s="345"/>
      <c r="D98" s="248" t="s">
        <v>25</v>
      </c>
      <c r="E98" s="193"/>
      <c r="F98" s="456">
        <f t="shared" ref="F98:I98" si="41">SUM(F92:F97)</f>
        <v>153</v>
      </c>
      <c r="G98" s="456">
        <f t="shared" si="41"/>
        <v>384</v>
      </c>
      <c r="H98" s="456">
        <f t="shared" si="41"/>
        <v>0</v>
      </c>
      <c r="I98" s="456">
        <f t="shared" si="41"/>
        <v>537</v>
      </c>
      <c r="J98" s="689">
        <f t="shared" ref="J98:M98" si="42">SUM(J92:J97)</f>
        <v>153</v>
      </c>
      <c r="K98" s="689">
        <f t="shared" si="42"/>
        <v>535</v>
      </c>
      <c r="L98" s="689">
        <f t="shared" si="42"/>
        <v>2</v>
      </c>
      <c r="M98" s="689">
        <f t="shared" si="42"/>
        <v>690</v>
      </c>
      <c r="N98" s="372" t="s">
        <v>23</v>
      </c>
      <c r="O98" s="372" t="s">
        <v>23</v>
      </c>
      <c r="P98" s="372" t="s">
        <v>23</v>
      </c>
      <c r="Q98" s="372" t="s">
        <v>23</v>
      </c>
      <c r="R98" s="372" t="s">
        <v>23</v>
      </c>
      <c r="S98" s="372" t="s">
        <v>23</v>
      </c>
      <c r="T98" s="372" t="s">
        <v>23</v>
      </c>
      <c r="U98" s="372" t="s">
        <v>23</v>
      </c>
      <c r="V98" s="372" t="s">
        <v>23</v>
      </c>
      <c r="W98" s="372" t="s">
        <v>23</v>
      </c>
      <c r="X98" s="372" t="s">
        <v>23</v>
      </c>
      <c r="Y98" s="372" t="s">
        <v>23</v>
      </c>
      <c r="Z98" s="372" t="s">
        <v>23</v>
      </c>
      <c r="AA98" s="372" t="s">
        <v>23</v>
      </c>
      <c r="AB98" s="372" t="s">
        <v>23</v>
      </c>
      <c r="AC98" s="372" t="s">
        <v>23</v>
      </c>
      <c r="AD98" s="372" t="s">
        <v>23</v>
      </c>
      <c r="AE98" s="372" t="s">
        <v>23</v>
      </c>
    </row>
    <row r="99" spans="2:31" ht="26.85" customHeight="1" x14ac:dyDescent="0.25">
      <c r="B99" s="231" t="s">
        <v>140</v>
      </c>
      <c r="C99" s="231"/>
      <c r="D99" s="248"/>
      <c r="E99" s="193"/>
      <c r="F99" s="456"/>
      <c r="G99" s="456"/>
      <c r="H99" s="456"/>
      <c r="I99" s="456"/>
      <c r="J99" s="689"/>
      <c r="K99" s="689"/>
      <c r="L99" s="689"/>
      <c r="M99" s="689"/>
      <c r="N99" s="372"/>
      <c r="O99" s="372"/>
      <c r="P99" s="372"/>
      <c r="Q99" s="372"/>
      <c r="R99" s="372"/>
      <c r="S99" s="372"/>
      <c r="T99" s="372"/>
      <c r="U99" s="372"/>
      <c r="V99" s="372"/>
      <c r="W99" s="372"/>
      <c r="X99" s="372"/>
      <c r="Y99" s="372"/>
      <c r="Z99" s="372"/>
      <c r="AA99" s="372"/>
      <c r="AB99" s="372"/>
      <c r="AC99" s="372"/>
      <c r="AD99" s="372"/>
      <c r="AE99" s="372"/>
    </row>
    <row r="100" spans="2:31" ht="26.85" customHeight="1" x14ac:dyDescent="0.25">
      <c r="B100" s="345" t="s">
        <v>141</v>
      </c>
      <c r="C100" s="345"/>
      <c r="D100" s="248" t="s">
        <v>25</v>
      </c>
      <c r="E100" s="193"/>
      <c r="F100" s="456">
        <f>SUM('Ausgrid Workforce'!F88,'PLUS ES Workforce'!F100)</f>
        <v>18</v>
      </c>
      <c r="G100" s="456">
        <f>SUM('Ausgrid Workforce'!G88,'PLUS ES Workforce'!G100)</f>
        <v>45</v>
      </c>
      <c r="H100" s="750" t="s">
        <v>23</v>
      </c>
      <c r="I100" s="456">
        <f t="shared" ref="I100:I105" si="43">SUM(F100:H100)</f>
        <v>63</v>
      </c>
      <c r="J100" s="689">
        <f>SUM('Ausgrid Workforce'!J88,'PLUS ES Workforce'!J100)</f>
        <v>21</v>
      </c>
      <c r="K100" s="689">
        <f>SUM('Ausgrid Workforce'!K88,'PLUS ES Workforce'!K100)</f>
        <v>56</v>
      </c>
      <c r="L100" s="697" t="s">
        <v>23</v>
      </c>
      <c r="M100" s="689">
        <f t="shared" ref="M100:M105" si="44">SUM(J100:L100)</f>
        <v>77</v>
      </c>
      <c r="N100" s="372" t="s">
        <v>23</v>
      </c>
      <c r="O100" s="372" t="s">
        <v>23</v>
      </c>
      <c r="P100" s="372" t="s">
        <v>23</v>
      </c>
      <c r="Q100" s="372" t="s">
        <v>23</v>
      </c>
      <c r="R100" s="372" t="s">
        <v>23</v>
      </c>
      <c r="S100" s="372" t="s">
        <v>23</v>
      </c>
      <c r="T100" s="372" t="s">
        <v>23</v>
      </c>
      <c r="U100" s="372" t="s">
        <v>23</v>
      </c>
      <c r="V100" s="372" t="s">
        <v>23</v>
      </c>
      <c r="W100" s="372" t="s">
        <v>23</v>
      </c>
      <c r="X100" s="372" t="s">
        <v>23</v>
      </c>
      <c r="Y100" s="372" t="s">
        <v>23</v>
      </c>
      <c r="Z100" s="372" t="s">
        <v>23</v>
      </c>
      <c r="AA100" s="372" t="s">
        <v>23</v>
      </c>
      <c r="AB100" s="372" t="s">
        <v>23</v>
      </c>
      <c r="AC100" s="372" t="s">
        <v>23</v>
      </c>
      <c r="AD100" s="372" t="s">
        <v>23</v>
      </c>
      <c r="AE100" s="372" t="s">
        <v>23</v>
      </c>
    </row>
    <row r="101" spans="2:31" ht="26.85" customHeight="1" x14ac:dyDescent="0.25">
      <c r="B101" s="345" t="s">
        <v>142</v>
      </c>
      <c r="C101" s="345"/>
      <c r="D101" s="248" t="s">
        <v>25</v>
      </c>
      <c r="E101" s="193"/>
      <c r="F101" s="456">
        <f>SUM('Ausgrid Workforce'!F89,'PLUS ES Workforce'!F101)</f>
        <v>37</v>
      </c>
      <c r="G101" s="456">
        <f>SUM('Ausgrid Workforce'!G89,'PLUS ES Workforce'!G101)</f>
        <v>87</v>
      </c>
      <c r="H101" s="750" t="s">
        <v>23</v>
      </c>
      <c r="I101" s="456">
        <f t="shared" si="43"/>
        <v>124</v>
      </c>
      <c r="J101" s="689">
        <f>SUM('Ausgrid Workforce'!J89,'PLUS ES Workforce'!J101)</f>
        <v>38</v>
      </c>
      <c r="K101" s="689">
        <f>SUM('Ausgrid Workforce'!K89,'PLUS ES Workforce'!K101)</f>
        <v>127</v>
      </c>
      <c r="L101" s="697" t="s">
        <v>23</v>
      </c>
      <c r="M101" s="689">
        <f t="shared" si="44"/>
        <v>165</v>
      </c>
      <c r="N101" s="372" t="s">
        <v>23</v>
      </c>
      <c r="O101" s="372" t="s">
        <v>23</v>
      </c>
      <c r="P101" s="372" t="s">
        <v>23</v>
      </c>
      <c r="Q101" s="372" t="s">
        <v>23</v>
      </c>
      <c r="R101" s="372" t="s">
        <v>23</v>
      </c>
      <c r="S101" s="372" t="s">
        <v>23</v>
      </c>
      <c r="T101" s="372" t="s">
        <v>23</v>
      </c>
      <c r="U101" s="372" t="s">
        <v>23</v>
      </c>
      <c r="V101" s="372" t="s">
        <v>23</v>
      </c>
      <c r="W101" s="372" t="s">
        <v>23</v>
      </c>
      <c r="X101" s="372" t="s">
        <v>23</v>
      </c>
      <c r="Y101" s="372" t="s">
        <v>23</v>
      </c>
      <c r="Z101" s="372" t="s">
        <v>23</v>
      </c>
      <c r="AA101" s="372" t="s">
        <v>23</v>
      </c>
      <c r="AB101" s="372" t="s">
        <v>23</v>
      </c>
      <c r="AC101" s="372" t="s">
        <v>23</v>
      </c>
      <c r="AD101" s="372" t="s">
        <v>23</v>
      </c>
      <c r="AE101" s="372" t="s">
        <v>23</v>
      </c>
    </row>
    <row r="102" spans="2:31" ht="26.85" customHeight="1" x14ac:dyDescent="0.25">
      <c r="B102" s="345" t="s">
        <v>143</v>
      </c>
      <c r="C102" s="345"/>
      <c r="D102" s="248" t="s">
        <v>25</v>
      </c>
      <c r="E102" s="193"/>
      <c r="F102" s="456">
        <f>SUM('Ausgrid Workforce'!F90,'PLUS ES Workforce'!F102)</f>
        <v>54</v>
      </c>
      <c r="G102" s="456">
        <f>SUM('Ausgrid Workforce'!G90,'PLUS ES Workforce'!G102)</f>
        <v>145</v>
      </c>
      <c r="H102" s="750" t="s">
        <v>23</v>
      </c>
      <c r="I102" s="456">
        <f t="shared" si="43"/>
        <v>199</v>
      </c>
      <c r="J102" s="689">
        <f>SUM('Ausgrid Workforce'!J90,'PLUS ES Workforce'!J102)</f>
        <v>51</v>
      </c>
      <c r="K102" s="689">
        <f>SUM('Ausgrid Workforce'!K90,'PLUS ES Workforce'!K102)</f>
        <v>210</v>
      </c>
      <c r="L102" s="697" t="s">
        <v>23</v>
      </c>
      <c r="M102" s="689">
        <f t="shared" si="44"/>
        <v>261</v>
      </c>
      <c r="N102" s="372" t="s">
        <v>23</v>
      </c>
      <c r="O102" s="372" t="s">
        <v>23</v>
      </c>
      <c r="P102" s="372" t="s">
        <v>23</v>
      </c>
      <c r="Q102" s="372" t="s">
        <v>23</v>
      </c>
      <c r="R102" s="372" t="s">
        <v>23</v>
      </c>
      <c r="S102" s="372" t="s">
        <v>23</v>
      </c>
      <c r="T102" s="372" t="s">
        <v>23</v>
      </c>
      <c r="U102" s="372" t="s">
        <v>23</v>
      </c>
      <c r="V102" s="372" t="s">
        <v>23</v>
      </c>
      <c r="W102" s="372" t="s">
        <v>23</v>
      </c>
      <c r="X102" s="372" t="s">
        <v>23</v>
      </c>
      <c r="Y102" s="372" t="s">
        <v>23</v>
      </c>
      <c r="Z102" s="372" t="s">
        <v>23</v>
      </c>
      <c r="AA102" s="372" t="s">
        <v>23</v>
      </c>
      <c r="AB102" s="372" t="s">
        <v>23</v>
      </c>
      <c r="AC102" s="372" t="s">
        <v>23</v>
      </c>
      <c r="AD102" s="372" t="s">
        <v>23</v>
      </c>
      <c r="AE102" s="372" t="s">
        <v>23</v>
      </c>
    </row>
    <row r="103" spans="2:31" ht="26.85" customHeight="1" x14ac:dyDescent="0.25">
      <c r="B103" s="345" t="s">
        <v>144</v>
      </c>
      <c r="C103" s="345"/>
      <c r="D103" s="248" t="s">
        <v>25</v>
      </c>
      <c r="E103" s="193"/>
      <c r="F103" s="456">
        <f>SUM('Ausgrid Workforce'!F91,'PLUS ES Workforce'!F103)</f>
        <v>33</v>
      </c>
      <c r="G103" s="456">
        <f>SUM('Ausgrid Workforce'!G91,'PLUS ES Workforce'!G103)</f>
        <v>82</v>
      </c>
      <c r="H103" s="750" t="s">
        <v>23</v>
      </c>
      <c r="I103" s="456">
        <f t="shared" si="43"/>
        <v>115</v>
      </c>
      <c r="J103" s="689">
        <f>SUM('Ausgrid Workforce'!J91,'PLUS ES Workforce'!J103)</f>
        <v>34</v>
      </c>
      <c r="K103" s="689">
        <f>SUM('Ausgrid Workforce'!K91,'PLUS ES Workforce'!K103)</f>
        <v>109</v>
      </c>
      <c r="L103" s="697" t="s">
        <v>23</v>
      </c>
      <c r="M103" s="689">
        <f t="shared" si="44"/>
        <v>143</v>
      </c>
      <c r="N103" s="372" t="s">
        <v>23</v>
      </c>
      <c r="O103" s="372" t="s">
        <v>23</v>
      </c>
      <c r="P103" s="372" t="s">
        <v>23</v>
      </c>
      <c r="Q103" s="372" t="s">
        <v>23</v>
      </c>
      <c r="R103" s="372" t="s">
        <v>23</v>
      </c>
      <c r="S103" s="372" t="s">
        <v>23</v>
      </c>
      <c r="T103" s="372" t="s">
        <v>23</v>
      </c>
      <c r="U103" s="372" t="s">
        <v>23</v>
      </c>
      <c r="V103" s="372" t="s">
        <v>23</v>
      </c>
      <c r="W103" s="372" t="s">
        <v>23</v>
      </c>
      <c r="X103" s="372" t="s">
        <v>23</v>
      </c>
      <c r="Y103" s="372" t="s">
        <v>23</v>
      </c>
      <c r="Z103" s="372" t="s">
        <v>23</v>
      </c>
      <c r="AA103" s="372" t="s">
        <v>23</v>
      </c>
      <c r="AB103" s="372" t="s">
        <v>23</v>
      </c>
      <c r="AC103" s="372" t="s">
        <v>23</v>
      </c>
      <c r="AD103" s="372" t="s">
        <v>23</v>
      </c>
      <c r="AE103" s="372" t="s">
        <v>23</v>
      </c>
    </row>
    <row r="104" spans="2:31" ht="26.85" customHeight="1" x14ac:dyDescent="0.25">
      <c r="B104" s="345" t="s">
        <v>145</v>
      </c>
      <c r="C104" s="345"/>
      <c r="D104" s="248" t="s">
        <v>25</v>
      </c>
      <c r="E104" s="193"/>
      <c r="F104" s="456">
        <f>SUM('Ausgrid Workforce'!F92,'PLUS ES Workforce'!F104)</f>
        <v>9</v>
      </c>
      <c r="G104" s="456">
        <f>SUM('Ausgrid Workforce'!G92,'PLUS ES Workforce'!G104)</f>
        <v>20</v>
      </c>
      <c r="H104" s="750" t="s">
        <v>23</v>
      </c>
      <c r="I104" s="456">
        <f t="shared" si="43"/>
        <v>29</v>
      </c>
      <c r="J104" s="689">
        <f>SUM('Ausgrid Workforce'!J92,'PLUS ES Workforce'!J104)</f>
        <v>9</v>
      </c>
      <c r="K104" s="689">
        <f>SUM('Ausgrid Workforce'!K92,'PLUS ES Workforce'!K104)</f>
        <v>31</v>
      </c>
      <c r="L104" s="697" t="s">
        <v>23</v>
      </c>
      <c r="M104" s="689">
        <f t="shared" si="44"/>
        <v>40</v>
      </c>
      <c r="N104" s="372" t="s">
        <v>23</v>
      </c>
      <c r="O104" s="372" t="s">
        <v>23</v>
      </c>
      <c r="P104" s="372" t="s">
        <v>23</v>
      </c>
      <c r="Q104" s="372" t="s">
        <v>23</v>
      </c>
      <c r="R104" s="372" t="s">
        <v>23</v>
      </c>
      <c r="S104" s="372" t="s">
        <v>23</v>
      </c>
      <c r="T104" s="372" t="s">
        <v>23</v>
      </c>
      <c r="U104" s="372" t="s">
        <v>23</v>
      </c>
      <c r="V104" s="372" t="s">
        <v>23</v>
      </c>
      <c r="W104" s="372" t="s">
        <v>23</v>
      </c>
      <c r="X104" s="372" t="s">
        <v>23</v>
      </c>
      <c r="Y104" s="372" t="s">
        <v>23</v>
      </c>
      <c r="Z104" s="372" t="s">
        <v>23</v>
      </c>
      <c r="AA104" s="372" t="s">
        <v>23</v>
      </c>
      <c r="AB104" s="372" t="s">
        <v>23</v>
      </c>
      <c r="AC104" s="372" t="s">
        <v>23</v>
      </c>
      <c r="AD104" s="372" t="s">
        <v>23</v>
      </c>
      <c r="AE104" s="372" t="s">
        <v>23</v>
      </c>
    </row>
    <row r="105" spans="2:31" ht="26.85" customHeight="1" x14ac:dyDescent="0.25">
      <c r="B105" s="345" t="s">
        <v>146</v>
      </c>
      <c r="C105" s="345"/>
      <c r="D105" s="248" t="s">
        <v>25</v>
      </c>
      <c r="E105" s="193"/>
      <c r="F105" s="456">
        <f>SUM('Ausgrid Workforce'!F93,'PLUS ES Workforce'!F105)</f>
        <v>2</v>
      </c>
      <c r="G105" s="456">
        <f>SUM('Ausgrid Workforce'!G93,'PLUS ES Workforce'!G105)</f>
        <v>5</v>
      </c>
      <c r="H105" s="750" t="s">
        <v>23</v>
      </c>
      <c r="I105" s="456">
        <f t="shared" si="43"/>
        <v>7</v>
      </c>
      <c r="J105" s="689">
        <f>SUM('Ausgrid Workforce'!J93,'PLUS ES Workforce'!J105)</f>
        <v>0</v>
      </c>
      <c r="K105" s="689">
        <f>SUM('Ausgrid Workforce'!K93,'PLUS ES Workforce'!K105)</f>
        <v>2</v>
      </c>
      <c r="L105" s="697" t="s">
        <v>23</v>
      </c>
      <c r="M105" s="689">
        <f t="shared" si="44"/>
        <v>2</v>
      </c>
      <c r="N105" s="372" t="s">
        <v>23</v>
      </c>
      <c r="O105" s="372" t="s">
        <v>23</v>
      </c>
      <c r="P105" s="372" t="s">
        <v>23</v>
      </c>
      <c r="Q105" s="372" t="s">
        <v>23</v>
      </c>
      <c r="R105" s="372" t="s">
        <v>23</v>
      </c>
      <c r="S105" s="372" t="s">
        <v>23</v>
      </c>
      <c r="T105" s="372" t="s">
        <v>23</v>
      </c>
      <c r="U105" s="372" t="s">
        <v>23</v>
      </c>
      <c r="V105" s="372" t="s">
        <v>23</v>
      </c>
      <c r="W105" s="372" t="s">
        <v>23</v>
      </c>
      <c r="X105" s="372" t="s">
        <v>23</v>
      </c>
      <c r="Y105" s="372" t="s">
        <v>23</v>
      </c>
      <c r="Z105" s="372" t="s">
        <v>23</v>
      </c>
      <c r="AA105" s="372" t="s">
        <v>23</v>
      </c>
      <c r="AB105" s="372" t="s">
        <v>23</v>
      </c>
      <c r="AC105" s="372" t="s">
        <v>23</v>
      </c>
      <c r="AD105" s="372" t="s">
        <v>23</v>
      </c>
      <c r="AE105" s="372" t="s">
        <v>23</v>
      </c>
    </row>
    <row r="106" spans="2:31" ht="26.85" customHeight="1" x14ac:dyDescent="0.25">
      <c r="B106" s="345" t="s">
        <v>113</v>
      </c>
      <c r="C106" s="345"/>
      <c r="D106" s="193" t="s">
        <v>25</v>
      </c>
      <c r="E106" s="193"/>
      <c r="F106" s="750" t="s">
        <v>23</v>
      </c>
      <c r="G106" s="750" t="s">
        <v>23</v>
      </c>
      <c r="H106" s="456">
        <f>SUM('Ausgrid Workforce'!H85,'PLUS ES Workforce'!H97)</f>
        <v>0</v>
      </c>
      <c r="I106" s="456">
        <f>H106</f>
        <v>0</v>
      </c>
      <c r="J106" s="697" t="s">
        <v>23</v>
      </c>
      <c r="K106" s="697" t="s">
        <v>23</v>
      </c>
      <c r="L106" s="689">
        <v>2</v>
      </c>
      <c r="M106" s="689">
        <f>L106</f>
        <v>2</v>
      </c>
      <c r="N106" s="372" t="s">
        <v>23</v>
      </c>
      <c r="O106" s="372" t="s">
        <v>23</v>
      </c>
      <c r="P106" s="372" t="s">
        <v>23</v>
      </c>
      <c r="Q106" s="372" t="s">
        <v>23</v>
      </c>
      <c r="R106" s="372" t="s">
        <v>23</v>
      </c>
      <c r="S106" s="372" t="s">
        <v>23</v>
      </c>
      <c r="T106" s="372" t="s">
        <v>23</v>
      </c>
      <c r="U106" s="372" t="s">
        <v>23</v>
      </c>
      <c r="V106" s="372" t="s">
        <v>23</v>
      </c>
      <c r="W106" s="372" t="s">
        <v>23</v>
      </c>
      <c r="X106" s="372" t="s">
        <v>23</v>
      </c>
      <c r="Y106" s="372" t="s">
        <v>23</v>
      </c>
      <c r="Z106" s="372" t="s">
        <v>23</v>
      </c>
      <c r="AA106" s="372" t="s">
        <v>23</v>
      </c>
      <c r="AB106" s="372" t="s">
        <v>23</v>
      </c>
      <c r="AC106" s="372" t="s">
        <v>23</v>
      </c>
      <c r="AD106" s="372" t="s">
        <v>23</v>
      </c>
      <c r="AE106" s="372" t="s">
        <v>23</v>
      </c>
    </row>
    <row r="107" spans="2:31" ht="26.85" customHeight="1" x14ac:dyDescent="0.25">
      <c r="B107" s="345" t="s">
        <v>102</v>
      </c>
      <c r="C107" s="345"/>
      <c r="D107" s="248" t="s">
        <v>25</v>
      </c>
      <c r="E107" s="193"/>
      <c r="F107" s="456">
        <f>SUM(F100:F105)</f>
        <v>153</v>
      </c>
      <c r="G107" s="456">
        <f>SUM(G100:G105)</f>
        <v>384</v>
      </c>
      <c r="H107" s="456">
        <f>SUM(H100:H106)</f>
        <v>0</v>
      </c>
      <c r="I107" s="456">
        <f>SUM(I100:I106)</f>
        <v>537</v>
      </c>
      <c r="J107" s="689">
        <f>SUM(J100:J105)</f>
        <v>153</v>
      </c>
      <c r="K107" s="689">
        <f>SUM(K100:K105)</f>
        <v>535</v>
      </c>
      <c r="L107" s="689">
        <f>SUM(L100:L106)</f>
        <v>2</v>
      </c>
      <c r="M107" s="689">
        <f>SUM(M100:M106)</f>
        <v>690</v>
      </c>
      <c r="N107" s="372" t="s">
        <v>23</v>
      </c>
      <c r="O107" s="372" t="s">
        <v>23</v>
      </c>
      <c r="P107" s="372" t="s">
        <v>23</v>
      </c>
      <c r="Q107" s="372" t="s">
        <v>23</v>
      </c>
      <c r="R107" s="372" t="s">
        <v>23</v>
      </c>
      <c r="S107" s="372" t="s">
        <v>23</v>
      </c>
      <c r="T107" s="372" t="s">
        <v>23</v>
      </c>
      <c r="U107" s="372" t="s">
        <v>23</v>
      </c>
      <c r="V107" s="372" t="s">
        <v>23</v>
      </c>
      <c r="W107" s="372" t="s">
        <v>23</v>
      </c>
      <c r="X107" s="372" t="s">
        <v>23</v>
      </c>
      <c r="Y107" s="372" t="s">
        <v>23</v>
      </c>
      <c r="Z107" s="372" t="s">
        <v>23</v>
      </c>
      <c r="AA107" s="372" t="s">
        <v>23</v>
      </c>
      <c r="AB107" s="372" t="s">
        <v>23</v>
      </c>
      <c r="AC107" s="372" t="s">
        <v>23</v>
      </c>
      <c r="AD107" s="372" t="s">
        <v>23</v>
      </c>
      <c r="AE107" s="372" t="s">
        <v>23</v>
      </c>
    </row>
    <row r="108" spans="2:31" ht="50.1" customHeight="1" x14ac:dyDescent="0.2">
      <c r="B108" s="180"/>
      <c r="C108" s="180"/>
      <c r="D108" s="180"/>
      <c r="E108" s="180"/>
      <c r="F108" s="262"/>
      <c r="G108" s="262"/>
      <c r="H108" s="262"/>
      <c r="I108" s="262"/>
      <c r="J108" s="262"/>
      <c r="K108" s="262"/>
      <c r="L108" s="262"/>
      <c r="M108" s="262"/>
      <c r="N108" s="184"/>
      <c r="O108" s="184"/>
      <c r="P108" s="184"/>
      <c r="Q108" s="184"/>
      <c r="R108" s="184"/>
      <c r="S108" s="184"/>
      <c r="T108" s="184"/>
      <c r="U108" s="184"/>
      <c r="V108" s="184"/>
      <c r="W108" s="184"/>
      <c r="X108" s="184"/>
      <c r="Y108" s="184"/>
      <c r="Z108" s="184"/>
      <c r="AA108" s="184"/>
      <c r="AB108" s="184"/>
      <c r="AC108" s="184"/>
      <c r="AD108" s="184"/>
      <c r="AE108" s="184"/>
    </row>
    <row r="109" spans="2:31" ht="26.85" customHeight="1" x14ac:dyDescent="0.35">
      <c r="B109" s="6" t="s">
        <v>147</v>
      </c>
      <c r="C109" s="305"/>
      <c r="D109" s="7" t="s">
        <v>9</v>
      </c>
      <c r="E109" s="306"/>
      <c r="F109" s="930" t="s">
        <v>10</v>
      </c>
      <c r="G109" s="930"/>
      <c r="H109" s="930"/>
      <c r="I109" s="930"/>
      <c r="J109" s="930" t="s">
        <v>11</v>
      </c>
      <c r="K109" s="930"/>
      <c r="L109" s="930"/>
      <c r="M109" s="930"/>
      <c r="N109" s="920" t="s">
        <v>12</v>
      </c>
      <c r="O109" s="920"/>
      <c r="P109" s="920"/>
      <c r="Q109" s="920" t="s">
        <v>13</v>
      </c>
      <c r="R109" s="920"/>
      <c r="S109" s="920"/>
      <c r="T109" s="920" t="s">
        <v>14</v>
      </c>
      <c r="U109" s="920"/>
      <c r="V109" s="920"/>
      <c r="W109" s="920" t="s">
        <v>15</v>
      </c>
      <c r="X109" s="920"/>
      <c r="Y109" s="920"/>
      <c r="Z109" s="920" t="s">
        <v>16</v>
      </c>
      <c r="AA109" s="920"/>
      <c r="AB109" s="920"/>
      <c r="AC109" s="920" t="s">
        <v>17</v>
      </c>
      <c r="AD109" s="920"/>
      <c r="AE109" s="920"/>
    </row>
    <row r="110" spans="2:31" ht="26.85" customHeight="1" x14ac:dyDescent="0.25">
      <c r="B110" s="231" t="s">
        <v>139</v>
      </c>
      <c r="C110" s="231"/>
      <c r="D110" s="231"/>
      <c r="E110" s="231"/>
      <c r="F110" s="532" t="s">
        <v>99</v>
      </c>
      <c r="G110" s="532" t="s">
        <v>100</v>
      </c>
      <c r="H110" s="532" t="s">
        <v>101</v>
      </c>
      <c r="I110" s="532" t="s">
        <v>102</v>
      </c>
      <c r="J110" s="690" t="s">
        <v>99</v>
      </c>
      <c r="K110" s="690" t="s">
        <v>100</v>
      </c>
      <c r="L110" s="690" t="s">
        <v>101</v>
      </c>
      <c r="M110" s="690" t="s">
        <v>102</v>
      </c>
      <c r="N110" s="921"/>
      <c r="O110" s="921"/>
      <c r="P110" s="921"/>
      <c r="Q110" s="921"/>
      <c r="R110" s="921"/>
      <c r="S110" s="921"/>
      <c r="T110" s="921"/>
      <c r="U110" s="921"/>
      <c r="V110" s="921"/>
      <c r="W110" s="921"/>
      <c r="X110" s="921"/>
      <c r="Y110" s="921"/>
      <c r="Z110" s="921"/>
      <c r="AA110" s="921"/>
      <c r="AB110" s="921"/>
      <c r="AC110" s="921"/>
      <c r="AD110" s="921"/>
      <c r="AE110" s="921"/>
    </row>
    <row r="111" spans="2:31" ht="26.85" customHeight="1" x14ac:dyDescent="0.25">
      <c r="B111" s="345" t="s">
        <v>108</v>
      </c>
      <c r="C111" s="345"/>
      <c r="D111" s="248" t="s">
        <v>25</v>
      </c>
      <c r="E111" s="248"/>
      <c r="F111" s="759">
        <f>SUM('Ausgrid Workforce'!F99,'PLUS ES Workforce'!F110)</f>
        <v>0</v>
      </c>
      <c r="G111" s="759">
        <f>SUM('Ausgrid Workforce'!G99,'PLUS ES Workforce'!G110)</f>
        <v>3</v>
      </c>
      <c r="H111" s="759">
        <f>SUM('Ausgrid Workforce'!H99,'PLUS ES Workforce'!H110)</f>
        <v>0</v>
      </c>
      <c r="I111" s="760">
        <f>SUM(F111:G111)</f>
        <v>3</v>
      </c>
      <c r="J111" s="702">
        <f>SUM('Ausgrid Workforce'!J99,'PLUS ES Workforce'!J110)</f>
        <v>0</v>
      </c>
      <c r="K111" s="702">
        <f>SUM('Ausgrid Workforce'!K99,'PLUS ES Workforce'!K110)</f>
        <v>1</v>
      </c>
      <c r="L111" s="702">
        <f>SUM('Ausgrid Workforce'!L99,'PLUS ES Workforce'!L110)</f>
        <v>0</v>
      </c>
      <c r="M111" s="695">
        <f>SUM(J111:K111)</f>
        <v>1</v>
      </c>
      <c r="N111" s="918" t="s">
        <v>23</v>
      </c>
      <c r="O111" s="918"/>
      <c r="P111" s="918"/>
      <c r="Q111" s="918" t="s">
        <v>23</v>
      </c>
      <c r="R111" s="918"/>
      <c r="S111" s="918"/>
      <c r="T111" s="918" t="s">
        <v>23</v>
      </c>
      <c r="U111" s="918"/>
      <c r="V111" s="918"/>
      <c r="W111" s="918" t="s">
        <v>23</v>
      </c>
      <c r="X111" s="918"/>
      <c r="Y111" s="918"/>
      <c r="Z111" s="918" t="s">
        <v>23</v>
      </c>
      <c r="AA111" s="918"/>
      <c r="AB111" s="918"/>
      <c r="AC111" s="918" t="s">
        <v>23</v>
      </c>
      <c r="AD111" s="918"/>
      <c r="AE111" s="918"/>
    </row>
    <row r="112" spans="2:31" ht="26.85" customHeight="1" x14ac:dyDescent="0.25">
      <c r="B112" s="345" t="s">
        <v>109</v>
      </c>
      <c r="C112" s="345"/>
      <c r="D112" s="248" t="s">
        <v>25</v>
      </c>
      <c r="E112" s="248"/>
      <c r="F112" s="759">
        <f>SUM('Ausgrid Workforce'!F100,'PLUS ES Workforce'!F111)</f>
        <v>9</v>
      </c>
      <c r="G112" s="759">
        <f>SUM('Ausgrid Workforce'!G100,'PLUS ES Workforce'!G111)</f>
        <v>14</v>
      </c>
      <c r="H112" s="759">
        <f>SUM('Ausgrid Workforce'!H100,'PLUS ES Workforce'!H111)</f>
        <v>0</v>
      </c>
      <c r="I112" s="760">
        <f t="shared" ref="I112:I113" si="45">SUM(F112:G112)</f>
        <v>23</v>
      </c>
      <c r="J112" s="702">
        <f>SUM('Ausgrid Workforce'!J100,'PLUS ES Workforce'!J111)</f>
        <v>4</v>
      </c>
      <c r="K112" s="702">
        <f>SUM('Ausgrid Workforce'!K100,'PLUS ES Workforce'!K111)</f>
        <v>15</v>
      </c>
      <c r="L112" s="702">
        <f>SUM('Ausgrid Workforce'!L100,'PLUS ES Workforce'!L111)</f>
        <v>0</v>
      </c>
      <c r="M112" s="695">
        <f t="shared" ref="M112:M113" si="46">SUM(J112:K112)</f>
        <v>19</v>
      </c>
      <c r="N112" s="918" t="s">
        <v>23</v>
      </c>
      <c r="O112" s="918"/>
      <c r="P112" s="918"/>
      <c r="Q112" s="918" t="s">
        <v>23</v>
      </c>
      <c r="R112" s="918"/>
      <c r="S112" s="918"/>
      <c r="T112" s="918" t="s">
        <v>23</v>
      </c>
      <c r="U112" s="918"/>
      <c r="V112" s="918"/>
      <c r="W112" s="918" t="s">
        <v>23</v>
      </c>
      <c r="X112" s="918"/>
      <c r="Y112" s="918"/>
      <c r="Z112" s="918" t="s">
        <v>23</v>
      </c>
      <c r="AA112" s="918"/>
      <c r="AB112" s="918"/>
      <c r="AC112" s="918" t="s">
        <v>23</v>
      </c>
      <c r="AD112" s="918"/>
      <c r="AE112" s="918"/>
    </row>
    <row r="113" spans="2:31" ht="26.85" customHeight="1" x14ac:dyDescent="0.25">
      <c r="B113" s="345" t="s">
        <v>110</v>
      </c>
      <c r="C113" s="345"/>
      <c r="D113" s="248" t="s">
        <v>25</v>
      </c>
      <c r="E113" s="248"/>
      <c r="F113" s="759">
        <f>SUM('Ausgrid Workforce'!F101,'PLUS ES Workforce'!F112)</f>
        <v>0</v>
      </c>
      <c r="G113" s="759">
        <f>SUM('Ausgrid Workforce'!G101,'PLUS ES Workforce'!G112)</f>
        <v>0</v>
      </c>
      <c r="H113" s="759">
        <f>SUM('Ausgrid Workforce'!H101,'PLUS ES Workforce'!H112)</f>
        <v>0</v>
      </c>
      <c r="I113" s="760">
        <f t="shared" si="45"/>
        <v>0</v>
      </c>
      <c r="J113" s="702">
        <f>SUM('Ausgrid Workforce'!J101,'PLUS ES Workforce'!J112)</f>
        <v>0</v>
      </c>
      <c r="K113" s="702">
        <f>SUM('Ausgrid Workforce'!K101,'PLUS ES Workforce'!K112)</f>
        <v>4</v>
      </c>
      <c r="L113" s="702">
        <f>SUM('Ausgrid Workforce'!L101,'PLUS ES Workforce'!L112)</f>
        <v>0</v>
      </c>
      <c r="M113" s="695">
        <f t="shared" si="46"/>
        <v>4</v>
      </c>
      <c r="N113" s="918" t="s">
        <v>23</v>
      </c>
      <c r="O113" s="918"/>
      <c r="P113" s="918"/>
      <c r="Q113" s="918" t="s">
        <v>23</v>
      </c>
      <c r="R113" s="918"/>
      <c r="S113" s="918"/>
      <c r="T113" s="918" t="s">
        <v>23</v>
      </c>
      <c r="U113" s="918"/>
      <c r="V113" s="918"/>
      <c r="W113" s="918" t="s">
        <v>23</v>
      </c>
      <c r="X113" s="918"/>
      <c r="Y113" s="918"/>
      <c r="Z113" s="918" t="s">
        <v>23</v>
      </c>
      <c r="AA113" s="918"/>
      <c r="AB113" s="918"/>
      <c r="AC113" s="918" t="s">
        <v>23</v>
      </c>
      <c r="AD113" s="918"/>
      <c r="AE113" s="918"/>
    </row>
    <row r="114" spans="2:31" ht="26.85" customHeight="1" x14ac:dyDescent="0.25">
      <c r="B114" s="345" t="s">
        <v>111</v>
      </c>
      <c r="C114" s="345"/>
      <c r="D114" s="248" t="s">
        <v>25</v>
      </c>
      <c r="E114" s="248"/>
      <c r="F114" s="759" t="str">
        <f>'PLUS ES Workforce'!F113</f>
        <v>-</v>
      </c>
      <c r="G114" s="759" t="str">
        <f>'PLUS ES Workforce'!G113</f>
        <v>-</v>
      </c>
      <c r="H114" s="759" t="str">
        <f>'PLUS ES Workforce'!H113</f>
        <v>-</v>
      </c>
      <c r="I114" s="759" t="str">
        <f>'PLUS ES Workforce'!I113</f>
        <v>-</v>
      </c>
      <c r="J114" s="702" t="str">
        <f>'PLUS ES Workforce'!J113</f>
        <v>-</v>
      </c>
      <c r="K114" s="702" t="str">
        <f>'PLUS ES Workforce'!K113</f>
        <v>-</v>
      </c>
      <c r="L114" s="702" t="str">
        <f>'PLUS ES Workforce'!L113</f>
        <v>-</v>
      </c>
      <c r="M114" s="702" t="str">
        <f>'PLUS ES Workforce'!M113</f>
        <v>-</v>
      </c>
      <c r="N114" s="918" t="s">
        <v>23</v>
      </c>
      <c r="O114" s="918"/>
      <c r="P114" s="918"/>
      <c r="Q114" s="918" t="s">
        <v>23</v>
      </c>
      <c r="R114" s="918"/>
      <c r="S114" s="918"/>
      <c r="T114" s="918" t="s">
        <v>23</v>
      </c>
      <c r="U114" s="918"/>
      <c r="V114" s="918"/>
      <c r="W114" s="918" t="s">
        <v>23</v>
      </c>
      <c r="X114" s="918"/>
      <c r="Y114" s="918"/>
      <c r="Z114" s="918" t="s">
        <v>23</v>
      </c>
      <c r="AA114" s="918"/>
      <c r="AB114" s="918"/>
      <c r="AC114" s="918" t="s">
        <v>23</v>
      </c>
      <c r="AD114" s="918"/>
      <c r="AE114" s="918"/>
    </row>
    <row r="115" spans="2:31" ht="26.85" customHeight="1" x14ac:dyDescent="0.25">
      <c r="B115" s="345" t="s">
        <v>112</v>
      </c>
      <c r="C115" s="345"/>
      <c r="D115" s="248" t="s">
        <v>25</v>
      </c>
      <c r="E115" s="248"/>
      <c r="F115" s="759" t="str">
        <f>'PLUS ES Workforce'!F114</f>
        <v>-</v>
      </c>
      <c r="G115" s="759" t="str">
        <f>'PLUS ES Workforce'!G114</f>
        <v>-</v>
      </c>
      <c r="H115" s="759" t="str">
        <f>'PLUS ES Workforce'!H114</f>
        <v>-</v>
      </c>
      <c r="I115" s="759" t="str">
        <f>'PLUS ES Workforce'!I114</f>
        <v>-</v>
      </c>
      <c r="J115" s="702" t="str">
        <f>'PLUS ES Workforce'!J114</f>
        <v>-</v>
      </c>
      <c r="K115" s="702" t="str">
        <f>'PLUS ES Workforce'!K114</f>
        <v>-</v>
      </c>
      <c r="L115" s="702" t="str">
        <f>'PLUS ES Workforce'!L114</f>
        <v>-</v>
      </c>
      <c r="M115" s="702" t="str">
        <f>'PLUS ES Workforce'!M114</f>
        <v>-</v>
      </c>
      <c r="N115" s="918" t="s">
        <v>23</v>
      </c>
      <c r="O115" s="918"/>
      <c r="P115" s="918"/>
      <c r="Q115" s="918" t="s">
        <v>23</v>
      </c>
      <c r="R115" s="918"/>
      <c r="S115" s="918"/>
      <c r="T115" s="918" t="s">
        <v>23</v>
      </c>
      <c r="U115" s="918"/>
      <c r="V115" s="918"/>
      <c r="W115" s="918" t="s">
        <v>23</v>
      </c>
      <c r="X115" s="918"/>
      <c r="Y115" s="918"/>
      <c r="Z115" s="918" t="s">
        <v>23</v>
      </c>
      <c r="AA115" s="918"/>
      <c r="AB115" s="918"/>
      <c r="AC115" s="918" t="s">
        <v>23</v>
      </c>
      <c r="AD115" s="918"/>
      <c r="AE115" s="918"/>
    </row>
    <row r="116" spans="2:31" ht="26.85" customHeight="1" x14ac:dyDescent="0.25">
      <c r="B116" s="345" t="s">
        <v>113</v>
      </c>
      <c r="C116" s="345"/>
      <c r="D116" s="193" t="s">
        <v>25</v>
      </c>
      <c r="E116" s="193"/>
      <c r="F116" s="759" t="str">
        <f>'PLUS ES Workforce'!F115</f>
        <v>-</v>
      </c>
      <c r="G116" s="759" t="str">
        <f>'PLUS ES Workforce'!G115</f>
        <v>-</v>
      </c>
      <c r="H116" s="760">
        <f>SUM('Ausgrid Workforce'!H102,'PLUS ES Workforce'!H115)</f>
        <v>0</v>
      </c>
      <c r="I116" s="759" t="str">
        <f>'PLUS ES Workforce'!I115</f>
        <v>-</v>
      </c>
      <c r="J116" s="702" t="str">
        <f>'PLUS ES Workforce'!J115</f>
        <v>-</v>
      </c>
      <c r="K116" s="702" t="str">
        <f>'PLUS ES Workforce'!K115</f>
        <v>-</v>
      </c>
      <c r="L116" s="695">
        <f>SUM('Ausgrid Workforce'!L102,'PLUS ES Workforce'!L115)</f>
        <v>0</v>
      </c>
      <c r="M116" s="702" t="str">
        <f>'PLUS ES Workforce'!M115</f>
        <v>-</v>
      </c>
      <c r="N116" s="918" t="s">
        <v>23</v>
      </c>
      <c r="O116" s="918"/>
      <c r="P116" s="918"/>
      <c r="Q116" s="918" t="s">
        <v>23</v>
      </c>
      <c r="R116" s="918"/>
      <c r="S116" s="918"/>
      <c r="T116" s="918" t="s">
        <v>23</v>
      </c>
      <c r="U116" s="918"/>
      <c r="V116" s="918"/>
      <c r="W116" s="918" t="s">
        <v>23</v>
      </c>
      <c r="X116" s="918"/>
      <c r="Y116" s="918"/>
      <c r="Z116" s="918" t="s">
        <v>23</v>
      </c>
      <c r="AA116" s="918"/>
      <c r="AB116" s="918"/>
      <c r="AC116" s="918" t="s">
        <v>23</v>
      </c>
      <c r="AD116" s="918"/>
      <c r="AE116" s="918"/>
    </row>
    <row r="117" spans="2:31" ht="26.85" customHeight="1" x14ac:dyDescent="0.25">
      <c r="B117" s="345" t="s">
        <v>102</v>
      </c>
      <c r="C117" s="345"/>
      <c r="D117" s="248" t="s">
        <v>25</v>
      </c>
      <c r="E117" s="248"/>
      <c r="F117" s="768">
        <f t="shared" ref="F117:I117" si="47">SUM(F111:F116)</f>
        <v>9</v>
      </c>
      <c r="G117" s="760">
        <f t="shared" si="47"/>
        <v>17</v>
      </c>
      <c r="H117" s="760">
        <f t="shared" si="47"/>
        <v>0</v>
      </c>
      <c r="I117" s="760">
        <f t="shared" si="47"/>
        <v>26</v>
      </c>
      <c r="J117" s="703">
        <f t="shared" ref="J117:M117" si="48">SUM(J111:J116)</f>
        <v>4</v>
      </c>
      <c r="K117" s="695">
        <f t="shared" si="48"/>
        <v>20</v>
      </c>
      <c r="L117" s="695">
        <f t="shared" si="48"/>
        <v>0</v>
      </c>
      <c r="M117" s="695">
        <f t="shared" si="48"/>
        <v>24</v>
      </c>
      <c r="N117" s="918" t="s">
        <v>23</v>
      </c>
      <c r="O117" s="918"/>
      <c r="P117" s="918"/>
      <c r="Q117" s="918" t="s">
        <v>23</v>
      </c>
      <c r="R117" s="918"/>
      <c r="S117" s="918"/>
      <c r="T117" s="918" t="s">
        <v>23</v>
      </c>
      <c r="U117" s="918"/>
      <c r="V117" s="918"/>
      <c r="W117" s="918" t="s">
        <v>23</v>
      </c>
      <c r="X117" s="918"/>
      <c r="Y117" s="918"/>
      <c r="Z117" s="918" t="s">
        <v>23</v>
      </c>
      <c r="AA117" s="918"/>
      <c r="AB117" s="918"/>
      <c r="AC117" s="918" t="s">
        <v>23</v>
      </c>
      <c r="AD117" s="918"/>
      <c r="AE117" s="918"/>
    </row>
    <row r="118" spans="2:31" ht="26.85" customHeight="1" x14ac:dyDescent="0.25">
      <c r="B118" s="231" t="s">
        <v>140</v>
      </c>
      <c r="C118" s="231"/>
      <c r="D118" s="248"/>
      <c r="E118" s="248"/>
      <c r="F118" s="768"/>
      <c r="G118" s="760"/>
      <c r="H118" s="760"/>
      <c r="I118" s="760"/>
      <c r="J118" s="703"/>
      <c r="K118" s="695"/>
      <c r="L118" s="695"/>
      <c r="M118" s="695"/>
      <c r="N118" s="918"/>
      <c r="O118" s="918"/>
      <c r="P118" s="918"/>
      <c r="Q118" s="918"/>
      <c r="R118" s="918"/>
      <c r="S118" s="918"/>
      <c r="T118" s="918"/>
      <c r="U118" s="918"/>
      <c r="V118" s="918"/>
      <c r="W118" s="918"/>
      <c r="X118" s="918"/>
      <c r="Y118" s="918"/>
      <c r="Z118" s="918"/>
      <c r="AA118" s="918"/>
      <c r="AB118" s="918"/>
      <c r="AC118" s="918"/>
      <c r="AD118" s="918"/>
      <c r="AE118" s="918"/>
    </row>
    <row r="119" spans="2:31" ht="26.85" customHeight="1" x14ac:dyDescent="0.25">
      <c r="B119" s="345" t="s">
        <v>141</v>
      </c>
      <c r="C119" s="345"/>
      <c r="D119" s="248" t="s">
        <v>25</v>
      </c>
      <c r="E119" s="248"/>
      <c r="F119" s="759">
        <f>SUM('Ausgrid Workforce'!F105,'PLUS ES Workforce'!F118)</f>
        <v>0</v>
      </c>
      <c r="G119" s="759">
        <f>SUM('Ausgrid Workforce'!G105,'PLUS ES Workforce'!G118)</f>
        <v>0</v>
      </c>
      <c r="H119" s="759">
        <f>SUM('Ausgrid Workforce'!H105,'PLUS ES Workforce'!H118)</f>
        <v>0</v>
      </c>
      <c r="I119" s="760">
        <f>SUM(F119:G119)</f>
        <v>0</v>
      </c>
      <c r="J119" s="702">
        <f>SUM('Ausgrid Workforce'!J105,'PLUS ES Workforce'!J118)</f>
        <v>0</v>
      </c>
      <c r="K119" s="702">
        <f>SUM('Ausgrid Workforce'!K105,'PLUS ES Workforce'!K118)</f>
        <v>0</v>
      </c>
      <c r="L119" s="702">
        <f>SUM('Ausgrid Workforce'!L105,'PLUS ES Workforce'!L118)</f>
        <v>0</v>
      </c>
      <c r="M119" s="695">
        <f>SUM(J119:K119)</f>
        <v>0</v>
      </c>
      <c r="N119" s="918" t="s">
        <v>23</v>
      </c>
      <c r="O119" s="918"/>
      <c r="P119" s="918"/>
      <c r="Q119" s="918" t="s">
        <v>23</v>
      </c>
      <c r="R119" s="918"/>
      <c r="S119" s="918"/>
      <c r="T119" s="918" t="s">
        <v>23</v>
      </c>
      <c r="U119" s="918"/>
      <c r="V119" s="918"/>
      <c r="W119" s="918" t="s">
        <v>23</v>
      </c>
      <c r="X119" s="918"/>
      <c r="Y119" s="918"/>
      <c r="Z119" s="918" t="s">
        <v>23</v>
      </c>
      <c r="AA119" s="918"/>
      <c r="AB119" s="918"/>
      <c r="AC119" s="918" t="s">
        <v>23</v>
      </c>
      <c r="AD119" s="918"/>
      <c r="AE119" s="918"/>
    </row>
    <row r="120" spans="2:31" ht="26.85" customHeight="1" x14ac:dyDescent="0.25">
      <c r="B120" s="345" t="s">
        <v>142</v>
      </c>
      <c r="C120" s="345"/>
      <c r="D120" s="248" t="s">
        <v>25</v>
      </c>
      <c r="E120" s="248"/>
      <c r="F120" s="759">
        <f>SUM('Ausgrid Workforce'!F106,'PLUS ES Workforce'!F119)</f>
        <v>1</v>
      </c>
      <c r="G120" s="759">
        <f>SUM('Ausgrid Workforce'!G106,'PLUS ES Workforce'!G119)</f>
        <v>0</v>
      </c>
      <c r="H120" s="759">
        <f>SUM('Ausgrid Workforce'!H106,'PLUS ES Workforce'!H119)</f>
        <v>0</v>
      </c>
      <c r="I120" s="760">
        <f t="shared" ref="I120:I124" si="49">SUM(F120:G120)</f>
        <v>1</v>
      </c>
      <c r="J120" s="702">
        <f>SUM('Ausgrid Workforce'!J106,'PLUS ES Workforce'!J119)</f>
        <v>0</v>
      </c>
      <c r="K120" s="702">
        <f>SUM('Ausgrid Workforce'!K106,'PLUS ES Workforce'!K119)</f>
        <v>1</v>
      </c>
      <c r="L120" s="702">
        <f>SUM('Ausgrid Workforce'!L106,'PLUS ES Workforce'!L119)</f>
        <v>0</v>
      </c>
      <c r="M120" s="695">
        <f t="shared" ref="M120:M126" si="50">SUM(J120:K120)</f>
        <v>1</v>
      </c>
      <c r="N120" s="918" t="s">
        <v>23</v>
      </c>
      <c r="O120" s="918"/>
      <c r="P120" s="918"/>
      <c r="Q120" s="918" t="s">
        <v>23</v>
      </c>
      <c r="R120" s="918"/>
      <c r="S120" s="918"/>
      <c r="T120" s="918" t="s">
        <v>23</v>
      </c>
      <c r="U120" s="918"/>
      <c r="V120" s="918"/>
      <c r="W120" s="918" t="s">
        <v>23</v>
      </c>
      <c r="X120" s="918"/>
      <c r="Y120" s="918"/>
      <c r="Z120" s="918" t="s">
        <v>23</v>
      </c>
      <c r="AA120" s="918"/>
      <c r="AB120" s="918"/>
      <c r="AC120" s="918" t="s">
        <v>23</v>
      </c>
      <c r="AD120" s="918"/>
      <c r="AE120" s="918"/>
    </row>
    <row r="121" spans="2:31" ht="26.85" customHeight="1" x14ac:dyDescent="0.25">
      <c r="B121" s="345" t="s">
        <v>143</v>
      </c>
      <c r="C121" s="345"/>
      <c r="D121" s="248" t="s">
        <v>25</v>
      </c>
      <c r="E121" s="248"/>
      <c r="F121" s="759">
        <f>SUM('Ausgrid Workforce'!F107,'PLUS ES Workforce'!F120)</f>
        <v>5</v>
      </c>
      <c r="G121" s="759">
        <f>SUM('Ausgrid Workforce'!G107,'PLUS ES Workforce'!G120)</f>
        <v>5</v>
      </c>
      <c r="H121" s="759">
        <f>SUM('Ausgrid Workforce'!H107,'PLUS ES Workforce'!H120)</f>
        <v>0</v>
      </c>
      <c r="I121" s="760">
        <f t="shared" si="49"/>
        <v>10</v>
      </c>
      <c r="J121" s="702">
        <f>SUM('Ausgrid Workforce'!J107,'PLUS ES Workforce'!J120)</f>
        <v>0</v>
      </c>
      <c r="K121" s="702">
        <f>SUM('Ausgrid Workforce'!K107,'PLUS ES Workforce'!K120)</f>
        <v>6</v>
      </c>
      <c r="L121" s="702">
        <f>SUM('Ausgrid Workforce'!L107,'PLUS ES Workforce'!L120)</f>
        <v>0</v>
      </c>
      <c r="M121" s="695">
        <f t="shared" si="50"/>
        <v>6</v>
      </c>
      <c r="N121" s="918" t="s">
        <v>23</v>
      </c>
      <c r="O121" s="918"/>
      <c r="P121" s="918"/>
      <c r="Q121" s="918" t="s">
        <v>23</v>
      </c>
      <c r="R121" s="918"/>
      <c r="S121" s="918"/>
      <c r="T121" s="918" t="s">
        <v>23</v>
      </c>
      <c r="U121" s="918"/>
      <c r="V121" s="918"/>
      <c r="W121" s="918" t="s">
        <v>23</v>
      </c>
      <c r="X121" s="918"/>
      <c r="Y121" s="918"/>
      <c r="Z121" s="918" t="s">
        <v>23</v>
      </c>
      <c r="AA121" s="918"/>
      <c r="AB121" s="918"/>
      <c r="AC121" s="918" t="s">
        <v>23</v>
      </c>
      <c r="AD121" s="918"/>
      <c r="AE121" s="918"/>
    </row>
    <row r="122" spans="2:31" ht="26.85" customHeight="1" x14ac:dyDescent="0.25">
      <c r="B122" s="345" t="s">
        <v>144</v>
      </c>
      <c r="C122" s="345"/>
      <c r="D122" s="248" t="s">
        <v>25</v>
      </c>
      <c r="E122" s="248"/>
      <c r="F122" s="759">
        <f>SUM('Ausgrid Workforce'!F108,'PLUS ES Workforce'!F121)</f>
        <v>3</v>
      </c>
      <c r="G122" s="759">
        <f>SUM('Ausgrid Workforce'!G108,'PLUS ES Workforce'!G121)</f>
        <v>4</v>
      </c>
      <c r="H122" s="759">
        <f>SUM('Ausgrid Workforce'!H108,'PLUS ES Workforce'!H121)</f>
        <v>0</v>
      </c>
      <c r="I122" s="760">
        <f t="shared" si="49"/>
        <v>7</v>
      </c>
      <c r="J122" s="702">
        <f>SUM('Ausgrid Workforce'!J108,'PLUS ES Workforce'!J121)</f>
        <v>1</v>
      </c>
      <c r="K122" s="702">
        <f>SUM('Ausgrid Workforce'!K108,'PLUS ES Workforce'!K121)</f>
        <v>7</v>
      </c>
      <c r="L122" s="702">
        <f>SUM('Ausgrid Workforce'!L108,'PLUS ES Workforce'!L121)</f>
        <v>0</v>
      </c>
      <c r="M122" s="695">
        <f t="shared" si="50"/>
        <v>8</v>
      </c>
      <c r="N122" s="918" t="s">
        <v>23</v>
      </c>
      <c r="O122" s="918"/>
      <c r="P122" s="918"/>
      <c r="Q122" s="918" t="s">
        <v>23</v>
      </c>
      <c r="R122" s="918"/>
      <c r="S122" s="918"/>
      <c r="T122" s="918" t="s">
        <v>23</v>
      </c>
      <c r="U122" s="918"/>
      <c r="V122" s="918"/>
      <c r="W122" s="918" t="s">
        <v>23</v>
      </c>
      <c r="X122" s="918"/>
      <c r="Y122" s="918"/>
      <c r="Z122" s="918" t="s">
        <v>23</v>
      </c>
      <c r="AA122" s="918"/>
      <c r="AB122" s="918"/>
      <c r="AC122" s="918" t="s">
        <v>23</v>
      </c>
      <c r="AD122" s="918"/>
      <c r="AE122" s="918"/>
    </row>
    <row r="123" spans="2:31" ht="26.85" customHeight="1" x14ac:dyDescent="0.25">
      <c r="B123" s="345" t="s">
        <v>145</v>
      </c>
      <c r="C123" s="345"/>
      <c r="D123" s="248" t="s">
        <v>25</v>
      </c>
      <c r="E123" s="248"/>
      <c r="F123" s="759">
        <f>SUM('Ausgrid Workforce'!F109,'PLUS ES Workforce'!F122)</f>
        <v>0</v>
      </c>
      <c r="G123" s="759">
        <f>SUM('Ausgrid Workforce'!G109,'PLUS ES Workforce'!G122)</f>
        <v>5</v>
      </c>
      <c r="H123" s="759">
        <f>SUM('Ausgrid Workforce'!H109,'PLUS ES Workforce'!H122)</f>
        <v>0</v>
      </c>
      <c r="I123" s="760">
        <f t="shared" si="49"/>
        <v>5</v>
      </c>
      <c r="J123" s="702">
        <f>SUM('Ausgrid Workforce'!J109,'PLUS ES Workforce'!J122)</f>
        <v>3</v>
      </c>
      <c r="K123" s="702">
        <f>SUM('Ausgrid Workforce'!K109,'PLUS ES Workforce'!K122)</f>
        <v>4</v>
      </c>
      <c r="L123" s="702">
        <f>SUM('Ausgrid Workforce'!L109,'PLUS ES Workforce'!L122)</f>
        <v>0</v>
      </c>
      <c r="M123" s="695">
        <f t="shared" si="50"/>
        <v>7</v>
      </c>
      <c r="N123" s="918" t="s">
        <v>23</v>
      </c>
      <c r="O123" s="918"/>
      <c r="P123" s="918"/>
      <c r="Q123" s="918" t="s">
        <v>23</v>
      </c>
      <c r="R123" s="918"/>
      <c r="S123" s="918"/>
      <c r="T123" s="918" t="s">
        <v>23</v>
      </c>
      <c r="U123" s="918"/>
      <c r="V123" s="918"/>
      <c r="W123" s="918" t="s">
        <v>23</v>
      </c>
      <c r="X123" s="918"/>
      <c r="Y123" s="918"/>
      <c r="Z123" s="918" t="s">
        <v>23</v>
      </c>
      <c r="AA123" s="918"/>
      <c r="AB123" s="918"/>
      <c r="AC123" s="918" t="s">
        <v>23</v>
      </c>
      <c r="AD123" s="918"/>
      <c r="AE123" s="918"/>
    </row>
    <row r="124" spans="2:31" ht="26.85" customHeight="1" x14ac:dyDescent="0.25">
      <c r="B124" s="345" t="s">
        <v>146</v>
      </c>
      <c r="C124" s="345"/>
      <c r="D124" s="248" t="s">
        <v>25</v>
      </c>
      <c r="E124" s="248"/>
      <c r="F124" s="759">
        <f>SUM('Ausgrid Workforce'!F110,'PLUS ES Workforce'!F123)</f>
        <v>0</v>
      </c>
      <c r="G124" s="759">
        <f>SUM('Ausgrid Workforce'!G110,'PLUS ES Workforce'!G123)</f>
        <v>3</v>
      </c>
      <c r="H124" s="759">
        <f>SUM('Ausgrid Workforce'!H110,'PLUS ES Workforce'!H123)</f>
        <v>0</v>
      </c>
      <c r="I124" s="760">
        <f t="shared" si="49"/>
        <v>3</v>
      </c>
      <c r="J124" s="702">
        <f>SUM('Ausgrid Workforce'!J110,'PLUS ES Workforce'!J123)</f>
        <v>0</v>
      </c>
      <c r="K124" s="702">
        <f>SUM('Ausgrid Workforce'!K110,'PLUS ES Workforce'!K123)</f>
        <v>2</v>
      </c>
      <c r="L124" s="702">
        <f>SUM('Ausgrid Workforce'!L110,'PLUS ES Workforce'!L123)</f>
        <v>0</v>
      </c>
      <c r="M124" s="695">
        <f t="shared" si="50"/>
        <v>2</v>
      </c>
      <c r="N124" s="918" t="s">
        <v>23</v>
      </c>
      <c r="O124" s="918"/>
      <c r="P124" s="918"/>
      <c r="Q124" s="918" t="s">
        <v>23</v>
      </c>
      <c r="R124" s="918"/>
      <c r="S124" s="918"/>
      <c r="T124" s="918" t="s">
        <v>23</v>
      </c>
      <c r="U124" s="918"/>
      <c r="V124" s="918"/>
      <c r="W124" s="918" t="s">
        <v>23</v>
      </c>
      <c r="X124" s="918"/>
      <c r="Y124" s="918"/>
      <c r="Z124" s="918" t="s">
        <v>23</v>
      </c>
      <c r="AA124" s="918"/>
      <c r="AB124" s="918"/>
      <c r="AC124" s="918" t="s">
        <v>23</v>
      </c>
      <c r="AD124" s="918"/>
      <c r="AE124" s="918"/>
    </row>
    <row r="125" spans="2:31" ht="26.85" customHeight="1" x14ac:dyDescent="0.25">
      <c r="B125" s="345" t="s">
        <v>113</v>
      </c>
      <c r="C125" s="345"/>
      <c r="D125" s="193" t="s">
        <v>25</v>
      </c>
      <c r="E125" s="248"/>
      <c r="F125" s="750" t="s">
        <v>23</v>
      </c>
      <c r="G125" s="750" t="s">
        <v>23</v>
      </c>
      <c r="H125" s="750" t="s">
        <v>23</v>
      </c>
      <c r="I125" s="750" t="s">
        <v>23</v>
      </c>
      <c r="J125" s="697" t="s">
        <v>23</v>
      </c>
      <c r="K125" s="697" t="s">
        <v>23</v>
      </c>
      <c r="L125" s="697" t="s">
        <v>23</v>
      </c>
      <c r="M125" s="697" t="s">
        <v>23</v>
      </c>
      <c r="N125" s="191"/>
      <c r="O125" s="191"/>
      <c r="P125" s="191" t="s">
        <v>23</v>
      </c>
      <c r="Q125" s="191"/>
      <c r="R125" s="191"/>
      <c r="S125" s="191" t="s">
        <v>23</v>
      </c>
      <c r="T125" s="191"/>
      <c r="U125" s="191"/>
      <c r="V125" s="191" t="s">
        <v>23</v>
      </c>
      <c r="W125" s="191"/>
      <c r="X125" s="191"/>
      <c r="Y125" s="191" t="s">
        <v>23</v>
      </c>
      <c r="Z125" s="191"/>
      <c r="AA125" s="191"/>
      <c r="AB125" s="191" t="s">
        <v>23</v>
      </c>
      <c r="AC125" s="191"/>
      <c r="AD125" s="191"/>
      <c r="AE125" s="191" t="s">
        <v>23</v>
      </c>
    </row>
    <row r="126" spans="2:31" ht="26.85" customHeight="1" x14ac:dyDescent="0.25">
      <c r="B126" s="345" t="s">
        <v>102</v>
      </c>
      <c r="C126" s="345"/>
      <c r="D126" s="248" t="s">
        <v>25</v>
      </c>
      <c r="E126" s="248"/>
      <c r="F126" s="759">
        <f>SUM('Ausgrid Workforce'!F112,'PLUS ES Workforce'!F124)</f>
        <v>9</v>
      </c>
      <c r="G126" s="759">
        <f>SUM('Ausgrid Workforce'!G112,'PLUS ES Workforce'!G124)</f>
        <v>17</v>
      </c>
      <c r="H126" s="759">
        <f>SUM('Ausgrid Workforce'!H112,'PLUS ES Workforce'!H124)</f>
        <v>0</v>
      </c>
      <c r="I126" s="760">
        <f t="shared" ref="I126" si="51">SUM(F126:G126)</f>
        <v>26</v>
      </c>
      <c r="J126" s="702">
        <f>SUM('Ausgrid Workforce'!J112,'PLUS ES Workforce'!J124)</f>
        <v>4</v>
      </c>
      <c r="K126" s="702">
        <f>SUM('Ausgrid Workforce'!K112,'PLUS ES Workforce'!K124)</f>
        <v>20</v>
      </c>
      <c r="L126" s="702">
        <f>SUM('Ausgrid Workforce'!L112,'PLUS ES Workforce'!L124)</f>
        <v>0</v>
      </c>
      <c r="M126" s="695">
        <f t="shared" si="50"/>
        <v>24</v>
      </c>
      <c r="N126" s="918">
        <v>0</v>
      </c>
      <c r="O126" s="918"/>
      <c r="P126" s="918"/>
      <c r="Q126" s="918">
        <v>6</v>
      </c>
      <c r="R126" s="918"/>
      <c r="S126" s="918"/>
      <c r="T126" s="918">
        <v>10</v>
      </c>
      <c r="U126" s="918"/>
      <c r="V126" s="918"/>
      <c r="W126" s="918">
        <v>56</v>
      </c>
      <c r="X126" s="918"/>
      <c r="Y126" s="918"/>
      <c r="Z126" s="918">
        <v>2</v>
      </c>
      <c r="AA126" s="918"/>
      <c r="AB126" s="918"/>
      <c r="AC126" s="918">
        <v>7</v>
      </c>
      <c r="AD126" s="918"/>
      <c r="AE126" s="918"/>
    </row>
    <row r="127" spans="2:31" ht="50.1" customHeight="1" x14ac:dyDescent="0.2">
      <c r="B127" s="180"/>
      <c r="C127" s="180"/>
      <c r="D127" s="180"/>
      <c r="E127" s="180"/>
      <c r="F127" s="269"/>
      <c r="G127" s="269"/>
      <c r="H127" s="269"/>
      <c r="I127" s="269"/>
      <c r="J127" s="269"/>
      <c r="K127" s="269"/>
      <c r="L127" s="269"/>
      <c r="M127" s="269"/>
      <c r="N127" s="203"/>
      <c r="O127" s="203"/>
      <c r="P127" s="203"/>
      <c r="Q127" s="185"/>
      <c r="R127" s="185"/>
      <c r="S127" s="185"/>
      <c r="T127" s="204"/>
      <c r="U127" s="204"/>
      <c r="V127" s="204"/>
      <c r="W127" s="204"/>
      <c r="X127" s="204"/>
      <c r="Y127" s="204"/>
      <c r="Z127" s="204"/>
      <c r="AA127" s="204"/>
      <c r="AB127" s="204"/>
      <c r="AC127" s="204"/>
      <c r="AD127" s="204"/>
      <c r="AE127" s="204"/>
    </row>
    <row r="128" spans="2:31" ht="26.85" customHeight="1" x14ac:dyDescent="0.35">
      <c r="B128" s="6" t="s">
        <v>148</v>
      </c>
      <c r="C128" s="305"/>
      <c r="D128" s="7" t="s">
        <v>9</v>
      </c>
      <c r="E128" s="306"/>
      <c r="F128" s="930" t="s">
        <v>10</v>
      </c>
      <c r="G128" s="930"/>
      <c r="H128" s="930"/>
      <c r="I128" s="930"/>
      <c r="J128" s="930" t="s">
        <v>11</v>
      </c>
      <c r="K128" s="930"/>
      <c r="L128" s="930"/>
      <c r="M128" s="930"/>
      <c r="N128" s="920" t="s">
        <v>12</v>
      </c>
      <c r="O128" s="920"/>
      <c r="P128" s="920"/>
      <c r="Q128" s="920" t="s">
        <v>13</v>
      </c>
      <c r="R128" s="920"/>
      <c r="S128" s="920"/>
      <c r="T128" s="920" t="s">
        <v>14</v>
      </c>
      <c r="U128" s="920"/>
      <c r="V128" s="920"/>
      <c r="W128" s="920" t="s">
        <v>15</v>
      </c>
      <c r="X128" s="920"/>
      <c r="Y128" s="920"/>
      <c r="Z128" s="920" t="s">
        <v>16</v>
      </c>
      <c r="AA128" s="920"/>
      <c r="AB128" s="920"/>
      <c r="AC128" s="920" t="s">
        <v>17</v>
      </c>
      <c r="AD128" s="920"/>
      <c r="AE128" s="920"/>
    </row>
    <row r="129" spans="2:31" ht="26.85" customHeight="1" x14ac:dyDescent="0.25">
      <c r="B129" s="231" t="s">
        <v>139</v>
      </c>
      <c r="C129" s="231"/>
      <c r="D129" s="231"/>
      <c r="E129" s="231"/>
      <c r="F129" s="532" t="s">
        <v>99</v>
      </c>
      <c r="G129" s="532" t="s">
        <v>100</v>
      </c>
      <c r="H129" s="532" t="s">
        <v>101</v>
      </c>
      <c r="I129" s="532" t="s">
        <v>102</v>
      </c>
      <c r="J129" s="690" t="s">
        <v>99</v>
      </c>
      <c r="K129" s="690" t="s">
        <v>100</v>
      </c>
      <c r="L129" s="690" t="s">
        <v>101</v>
      </c>
      <c r="M129" s="690" t="s">
        <v>102</v>
      </c>
      <c r="N129" s="921"/>
      <c r="O129" s="921"/>
      <c r="P129" s="921"/>
      <c r="Q129" s="921"/>
      <c r="R129" s="921"/>
      <c r="S129" s="921"/>
      <c r="T129" s="921"/>
      <c r="U129" s="921"/>
      <c r="V129" s="921"/>
      <c r="W129" s="921"/>
      <c r="X129" s="921"/>
      <c r="Y129" s="921"/>
      <c r="Z129" s="921"/>
      <c r="AA129" s="921"/>
      <c r="AB129" s="921"/>
      <c r="AC129" s="921"/>
      <c r="AD129" s="921"/>
      <c r="AE129" s="921"/>
    </row>
    <row r="130" spans="2:31" ht="26.85" customHeight="1" x14ac:dyDescent="0.25">
      <c r="B130" s="345" t="s">
        <v>108</v>
      </c>
      <c r="C130" s="345"/>
      <c r="D130" s="248" t="s">
        <v>25</v>
      </c>
      <c r="E130" s="248"/>
      <c r="F130" s="760">
        <f>SUM('Ausgrid Workforce'!F116,'PLUS ES Workforce'!F128)</f>
        <v>9</v>
      </c>
      <c r="G130" s="760">
        <f>SUM('Ausgrid Workforce'!G116,'PLUS ES Workforce'!G128)</f>
        <v>19</v>
      </c>
      <c r="H130" s="760">
        <f>SUM('Ausgrid Workforce'!H116,'PLUS ES Workforce'!H128)</f>
        <v>0</v>
      </c>
      <c r="I130" s="760">
        <f>SUM(F130:G130)</f>
        <v>28</v>
      </c>
      <c r="J130" s="702">
        <f>SUM('Ausgrid Workforce'!J116,'PLUS ES Workforce'!J128)</f>
        <v>1</v>
      </c>
      <c r="K130" s="702">
        <f>SUM('Ausgrid Workforce'!K116,'PLUS ES Workforce'!K128)</f>
        <v>25</v>
      </c>
      <c r="L130" s="702">
        <f>SUM('Ausgrid Workforce'!L116,'PLUS ES Workforce'!L128)</f>
        <v>0</v>
      </c>
      <c r="M130" s="695">
        <f>SUM(J130:K130)</f>
        <v>26</v>
      </c>
      <c r="N130" s="918" t="s">
        <v>23</v>
      </c>
      <c r="O130" s="918"/>
      <c r="P130" s="918"/>
      <c r="Q130" s="918" t="s">
        <v>23</v>
      </c>
      <c r="R130" s="918"/>
      <c r="S130" s="918"/>
      <c r="T130" s="918" t="s">
        <v>23</v>
      </c>
      <c r="U130" s="918"/>
      <c r="V130" s="918"/>
      <c r="W130" s="918" t="s">
        <v>23</v>
      </c>
      <c r="X130" s="918"/>
      <c r="Y130" s="918"/>
      <c r="Z130" s="918" t="s">
        <v>23</v>
      </c>
      <c r="AA130" s="918"/>
      <c r="AB130" s="918"/>
      <c r="AC130" s="918" t="s">
        <v>23</v>
      </c>
      <c r="AD130" s="918"/>
      <c r="AE130" s="918"/>
    </row>
    <row r="131" spans="2:31" ht="26.85" customHeight="1" x14ac:dyDescent="0.25">
      <c r="B131" s="345" t="s">
        <v>109</v>
      </c>
      <c r="C131" s="345"/>
      <c r="D131" s="248" t="s">
        <v>25</v>
      </c>
      <c r="E131" s="248"/>
      <c r="F131" s="760">
        <f>SUM('Ausgrid Workforce'!F117,'PLUS ES Workforce'!F129)</f>
        <v>18</v>
      </c>
      <c r="G131" s="760">
        <f>SUM('Ausgrid Workforce'!G117,'PLUS ES Workforce'!G129)</f>
        <v>52</v>
      </c>
      <c r="H131" s="760">
        <f>SUM('Ausgrid Workforce'!H117,'PLUS ES Workforce'!H129)</f>
        <v>0</v>
      </c>
      <c r="I131" s="760">
        <f>SUM(F131:G131)</f>
        <v>70</v>
      </c>
      <c r="J131" s="702">
        <f>SUM('Ausgrid Workforce'!J117,'PLUS ES Workforce'!J129)</f>
        <v>20</v>
      </c>
      <c r="K131" s="702">
        <f>SUM('Ausgrid Workforce'!K117,'PLUS ES Workforce'!K129)</f>
        <v>59</v>
      </c>
      <c r="L131" s="702">
        <f>SUM('Ausgrid Workforce'!L117,'PLUS ES Workforce'!L129)</f>
        <v>0</v>
      </c>
      <c r="M131" s="695">
        <f t="shared" ref="M131:M132" si="52">SUM(J131:K131)</f>
        <v>79</v>
      </c>
      <c r="N131" s="918" t="s">
        <v>23</v>
      </c>
      <c r="O131" s="918"/>
      <c r="P131" s="918"/>
      <c r="Q131" s="918" t="s">
        <v>23</v>
      </c>
      <c r="R131" s="918"/>
      <c r="S131" s="918"/>
      <c r="T131" s="918" t="s">
        <v>23</v>
      </c>
      <c r="U131" s="918"/>
      <c r="V131" s="918"/>
      <c r="W131" s="918" t="s">
        <v>23</v>
      </c>
      <c r="X131" s="918"/>
      <c r="Y131" s="918"/>
      <c r="Z131" s="918" t="s">
        <v>23</v>
      </c>
      <c r="AA131" s="918"/>
      <c r="AB131" s="918"/>
      <c r="AC131" s="918" t="s">
        <v>23</v>
      </c>
      <c r="AD131" s="918"/>
      <c r="AE131" s="918"/>
    </row>
    <row r="132" spans="2:31" ht="26.85" customHeight="1" x14ac:dyDescent="0.25">
      <c r="B132" s="345" t="s">
        <v>110</v>
      </c>
      <c r="C132" s="345"/>
      <c r="D132" s="248" t="s">
        <v>25</v>
      </c>
      <c r="E132" s="248"/>
      <c r="F132" s="760">
        <f>SUM('Ausgrid Workforce'!F118,'PLUS ES Workforce'!F130)</f>
        <v>1</v>
      </c>
      <c r="G132" s="760">
        <f>SUM('Ausgrid Workforce'!G118,'PLUS ES Workforce'!G130)</f>
        <v>4</v>
      </c>
      <c r="H132" s="760">
        <f>SUM('Ausgrid Workforce'!H118,'PLUS ES Workforce'!H130)</f>
        <v>0</v>
      </c>
      <c r="I132" s="760">
        <f>SUM(F132:G132)</f>
        <v>5</v>
      </c>
      <c r="J132" s="702">
        <f>SUM('Ausgrid Workforce'!J118,'PLUS ES Workforce'!J130)</f>
        <v>1</v>
      </c>
      <c r="K132" s="702">
        <f>SUM('Ausgrid Workforce'!K118,'PLUS ES Workforce'!K130)</f>
        <v>1</v>
      </c>
      <c r="L132" s="702">
        <f>SUM('Ausgrid Workforce'!L118,'PLUS ES Workforce'!L130)</f>
        <v>0</v>
      </c>
      <c r="M132" s="695">
        <f t="shared" si="52"/>
        <v>2</v>
      </c>
      <c r="N132" s="918" t="s">
        <v>23</v>
      </c>
      <c r="O132" s="918"/>
      <c r="P132" s="918"/>
      <c r="Q132" s="918" t="s">
        <v>23</v>
      </c>
      <c r="R132" s="918"/>
      <c r="S132" s="918"/>
      <c r="T132" s="918" t="s">
        <v>23</v>
      </c>
      <c r="U132" s="918"/>
      <c r="V132" s="918"/>
      <c r="W132" s="918" t="s">
        <v>23</v>
      </c>
      <c r="X132" s="918"/>
      <c r="Y132" s="918"/>
      <c r="Z132" s="918" t="s">
        <v>23</v>
      </c>
      <c r="AA132" s="918"/>
      <c r="AB132" s="918"/>
      <c r="AC132" s="918" t="s">
        <v>23</v>
      </c>
      <c r="AD132" s="918"/>
      <c r="AE132" s="918"/>
    </row>
    <row r="133" spans="2:31" ht="26.85" customHeight="1" x14ac:dyDescent="0.25">
      <c r="B133" s="345" t="s">
        <v>111</v>
      </c>
      <c r="C133" s="345"/>
      <c r="D133" s="248" t="s">
        <v>25</v>
      </c>
      <c r="E133" s="248"/>
      <c r="F133" s="760" t="str">
        <f>'PLUS ES Workforce'!F131</f>
        <v>-</v>
      </c>
      <c r="G133" s="760" t="str">
        <f>'PLUS ES Workforce'!G131</f>
        <v>-</v>
      </c>
      <c r="H133" s="760" t="str">
        <f>'PLUS ES Workforce'!H131</f>
        <v>-</v>
      </c>
      <c r="I133" s="750" t="s">
        <v>23</v>
      </c>
      <c r="J133" s="702" t="str">
        <f>'PLUS ES Workforce'!J131</f>
        <v>-</v>
      </c>
      <c r="K133" s="702" t="str">
        <f>'PLUS ES Workforce'!K131</f>
        <v>-</v>
      </c>
      <c r="L133" s="702" t="str">
        <f>'PLUS ES Workforce'!L131</f>
        <v>-</v>
      </c>
      <c r="M133" s="697" t="s">
        <v>23</v>
      </c>
      <c r="N133" s="918" t="s">
        <v>23</v>
      </c>
      <c r="O133" s="918"/>
      <c r="P133" s="918"/>
      <c r="Q133" s="918" t="s">
        <v>23</v>
      </c>
      <c r="R133" s="918"/>
      <c r="S133" s="918"/>
      <c r="T133" s="918" t="s">
        <v>23</v>
      </c>
      <c r="U133" s="918"/>
      <c r="V133" s="918"/>
      <c r="W133" s="918" t="s">
        <v>23</v>
      </c>
      <c r="X133" s="918"/>
      <c r="Y133" s="918"/>
      <c r="Z133" s="918" t="s">
        <v>23</v>
      </c>
      <c r="AA133" s="918"/>
      <c r="AB133" s="918"/>
      <c r="AC133" s="918" t="s">
        <v>23</v>
      </c>
      <c r="AD133" s="918"/>
      <c r="AE133" s="918"/>
    </row>
    <row r="134" spans="2:31" ht="26.85" customHeight="1" x14ac:dyDescent="0.25">
      <c r="B134" s="345" t="s">
        <v>112</v>
      </c>
      <c r="C134" s="345"/>
      <c r="D134" s="248" t="s">
        <v>25</v>
      </c>
      <c r="E134" s="248"/>
      <c r="F134" s="760" t="str">
        <f>'PLUS ES Workforce'!F132</f>
        <v>-</v>
      </c>
      <c r="G134" s="760" t="str">
        <f>'PLUS ES Workforce'!G132</f>
        <v>-</v>
      </c>
      <c r="H134" s="760" t="str">
        <f>'PLUS ES Workforce'!H132</f>
        <v>-</v>
      </c>
      <c r="I134" s="750" t="s">
        <v>23</v>
      </c>
      <c r="J134" s="702" t="str">
        <f>'PLUS ES Workforce'!J132</f>
        <v>-</v>
      </c>
      <c r="K134" s="702" t="str">
        <f>'PLUS ES Workforce'!K132</f>
        <v>-</v>
      </c>
      <c r="L134" s="702" t="str">
        <f>'PLUS ES Workforce'!L132</f>
        <v>-</v>
      </c>
      <c r="M134" s="697" t="s">
        <v>23</v>
      </c>
      <c r="N134" s="918" t="s">
        <v>23</v>
      </c>
      <c r="O134" s="918"/>
      <c r="P134" s="918"/>
      <c r="Q134" s="918" t="s">
        <v>23</v>
      </c>
      <c r="R134" s="918"/>
      <c r="S134" s="918"/>
      <c r="T134" s="918" t="s">
        <v>23</v>
      </c>
      <c r="U134" s="918"/>
      <c r="V134" s="918"/>
      <c r="W134" s="918" t="s">
        <v>23</v>
      </c>
      <c r="X134" s="918"/>
      <c r="Y134" s="918"/>
      <c r="Z134" s="918" t="s">
        <v>23</v>
      </c>
      <c r="AA134" s="918"/>
      <c r="AB134" s="918"/>
      <c r="AC134" s="918" t="s">
        <v>23</v>
      </c>
      <c r="AD134" s="918"/>
      <c r="AE134" s="918"/>
    </row>
    <row r="135" spans="2:31" ht="26.85" customHeight="1" x14ac:dyDescent="0.25">
      <c r="B135" s="345" t="s">
        <v>113</v>
      </c>
      <c r="C135" s="345"/>
      <c r="D135" s="193" t="s">
        <v>25</v>
      </c>
      <c r="E135" s="193"/>
      <c r="F135" s="750" t="s">
        <v>23</v>
      </c>
      <c r="G135" s="750" t="s">
        <v>23</v>
      </c>
      <c r="H135" s="760">
        <f>SUM('Ausgrid Workforce'!H119,'PLUS ES Workforce'!H133)</f>
        <v>1</v>
      </c>
      <c r="I135" s="760">
        <f>H135</f>
        <v>1</v>
      </c>
      <c r="J135" s="697" t="s">
        <v>23</v>
      </c>
      <c r="K135" s="697" t="s">
        <v>23</v>
      </c>
      <c r="L135" s="695">
        <f>SUM('Ausgrid Workforce'!L119,'PLUS ES Workforce'!L133)</f>
        <v>0</v>
      </c>
      <c r="M135" s="695">
        <f>L135</f>
        <v>0</v>
      </c>
      <c r="N135" s="918" t="s">
        <v>23</v>
      </c>
      <c r="O135" s="918"/>
      <c r="P135" s="918"/>
      <c r="Q135" s="918" t="s">
        <v>23</v>
      </c>
      <c r="R135" s="918"/>
      <c r="S135" s="918"/>
      <c r="T135" s="918" t="s">
        <v>23</v>
      </c>
      <c r="U135" s="918"/>
      <c r="V135" s="918"/>
      <c r="W135" s="918" t="s">
        <v>23</v>
      </c>
      <c r="X135" s="918"/>
      <c r="Y135" s="918"/>
      <c r="Z135" s="918" t="s">
        <v>23</v>
      </c>
      <c r="AA135" s="918"/>
      <c r="AB135" s="918"/>
      <c r="AC135" s="918" t="s">
        <v>23</v>
      </c>
      <c r="AD135" s="918"/>
      <c r="AE135" s="918"/>
    </row>
    <row r="136" spans="2:31" ht="26.85" customHeight="1" x14ac:dyDescent="0.25">
      <c r="B136" s="345" t="s">
        <v>102</v>
      </c>
      <c r="C136" s="345"/>
      <c r="D136" s="248" t="s">
        <v>25</v>
      </c>
      <c r="E136" s="248"/>
      <c r="F136" s="768">
        <f>SUM(F130:F135)</f>
        <v>28</v>
      </c>
      <c r="G136" s="760">
        <f>SUM(G130:G135)</f>
        <v>75</v>
      </c>
      <c r="H136" s="760">
        <f>SUM(H130:H135)</f>
        <v>1</v>
      </c>
      <c r="I136" s="760">
        <f>SUM(I130:I135)</f>
        <v>104</v>
      </c>
      <c r="J136" s="703">
        <f t="shared" ref="J136:M136" si="53">SUM(J130:J135)</f>
        <v>22</v>
      </c>
      <c r="K136" s="695">
        <f t="shared" si="53"/>
        <v>85</v>
      </c>
      <c r="L136" s="695">
        <f t="shared" si="53"/>
        <v>0</v>
      </c>
      <c r="M136" s="695">
        <f t="shared" si="53"/>
        <v>107</v>
      </c>
      <c r="N136" s="918" t="s">
        <v>23</v>
      </c>
      <c r="O136" s="918"/>
      <c r="P136" s="918"/>
      <c r="Q136" s="918" t="s">
        <v>23</v>
      </c>
      <c r="R136" s="918"/>
      <c r="S136" s="918"/>
      <c r="T136" s="918" t="s">
        <v>23</v>
      </c>
      <c r="U136" s="918"/>
      <c r="V136" s="918"/>
      <c r="W136" s="918" t="s">
        <v>23</v>
      </c>
      <c r="X136" s="918"/>
      <c r="Y136" s="918"/>
      <c r="Z136" s="918" t="s">
        <v>23</v>
      </c>
      <c r="AA136" s="918"/>
      <c r="AB136" s="918"/>
      <c r="AC136" s="918" t="s">
        <v>23</v>
      </c>
      <c r="AD136" s="918"/>
      <c r="AE136" s="918"/>
    </row>
    <row r="137" spans="2:31" ht="26.85" customHeight="1" x14ac:dyDescent="0.25">
      <c r="B137" s="231" t="s">
        <v>140</v>
      </c>
      <c r="C137" s="231"/>
      <c r="D137" s="248"/>
      <c r="E137" s="248"/>
      <c r="F137" s="768"/>
      <c r="G137" s="760"/>
      <c r="H137" s="760"/>
      <c r="I137" s="760"/>
      <c r="J137" s="703"/>
      <c r="K137" s="695"/>
      <c r="L137" s="695"/>
      <c r="M137" s="695"/>
      <c r="N137" s="918"/>
      <c r="O137" s="918"/>
      <c r="P137" s="918"/>
      <c r="Q137" s="918"/>
      <c r="R137" s="918"/>
      <c r="S137" s="918"/>
      <c r="T137" s="918"/>
      <c r="U137" s="918"/>
      <c r="V137" s="918"/>
      <c r="W137" s="918"/>
      <c r="X137" s="918"/>
      <c r="Y137" s="918"/>
      <c r="Z137" s="918"/>
      <c r="AA137" s="918"/>
      <c r="AB137" s="918"/>
      <c r="AC137" s="918"/>
      <c r="AD137" s="918"/>
      <c r="AE137" s="918"/>
    </row>
    <row r="138" spans="2:31" ht="26.85" customHeight="1" x14ac:dyDescent="0.25">
      <c r="B138" s="345" t="s">
        <v>141</v>
      </c>
      <c r="C138" s="345"/>
      <c r="D138" s="248" t="s">
        <v>25</v>
      </c>
      <c r="E138" s="248"/>
      <c r="F138" s="760">
        <f>SUM('Ausgrid Workforce'!F122,'PLUS ES Workforce'!F136)</f>
        <v>0</v>
      </c>
      <c r="G138" s="760">
        <f>SUM('Ausgrid Workforce'!G122,'PLUS ES Workforce'!G136)</f>
        <v>0</v>
      </c>
      <c r="H138" s="760">
        <f>SUM('Ausgrid Workforce'!H122,'PLUS ES Workforce'!H136)</f>
        <v>0</v>
      </c>
      <c r="I138" s="760">
        <f t="shared" ref="I138:I143" si="54">SUM(F138:G138)</f>
        <v>0</v>
      </c>
      <c r="J138" s="702">
        <f>SUM('Ausgrid Workforce'!J122,'PLUS ES Workforce'!J136)</f>
        <v>1</v>
      </c>
      <c r="K138" s="702">
        <f>SUM('Ausgrid Workforce'!K122,'PLUS ES Workforce'!K136)</f>
        <v>0</v>
      </c>
      <c r="L138" s="702">
        <f>SUM('Ausgrid Workforce'!L122,'PLUS ES Workforce'!L136)</f>
        <v>0</v>
      </c>
      <c r="M138" s="695">
        <f>SUM(J138:K138)</f>
        <v>1</v>
      </c>
      <c r="N138" s="918" t="s">
        <v>23</v>
      </c>
      <c r="O138" s="918"/>
      <c r="P138" s="918"/>
      <c r="Q138" s="918" t="s">
        <v>23</v>
      </c>
      <c r="R138" s="918"/>
      <c r="S138" s="918"/>
      <c r="T138" s="918" t="s">
        <v>23</v>
      </c>
      <c r="U138" s="918"/>
      <c r="V138" s="918"/>
      <c r="W138" s="918" t="s">
        <v>23</v>
      </c>
      <c r="X138" s="918"/>
      <c r="Y138" s="918"/>
      <c r="Z138" s="918" t="s">
        <v>23</v>
      </c>
      <c r="AA138" s="918"/>
      <c r="AB138" s="918"/>
      <c r="AC138" s="918" t="s">
        <v>23</v>
      </c>
      <c r="AD138" s="918"/>
      <c r="AE138" s="918"/>
    </row>
    <row r="139" spans="2:31" ht="26.85" customHeight="1" x14ac:dyDescent="0.25">
      <c r="B139" s="345" t="s">
        <v>142</v>
      </c>
      <c r="C139" s="345"/>
      <c r="D139" s="248" t="s">
        <v>25</v>
      </c>
      <c r="E139" s="248"/>
      <c r="F139" s="760">
        <f>SUM('Ausgrid Workforce'!F123,'PLUS ES Workforce'!F137)</f>
        <v>6</v>
      </c>
      <c r="G139" s="760">
        <f>SUM('Ausgrid Workforce'!G123,'PLUS ES Workforce'!G137)</f>
        <v>10</v>
      </c>
      <c r="H139" s="760">
        <f>SUM('Ausgrid Workforce'!H123,'PLUS ES Workforce'!H137)</f>
        <v>0</v>
      </c>
      <c r="I139" s="760">
        <f t="shared" si="54"/>
        <v>16</v>
      </c>
      <c r="J139" s="702">
        <f>SUM('Ausgrid Workforce'!J123,'PLUS ES Workforce'!J137)</f>
        <v>4</v>
      </c>
      <c r="K139" s="702">
        <f>SUM('Ausgrid Workforce'!K123,'PLUS ES Workforce'!K137)</f>
        <v>11</v>
      </c>
      <c r="L139" s="702">
        <f>SUM('Ausgrid Workforce'!L123,'PLUS ES Workforce'!L137)</f>
        <v>0</v>
      </c>
      <c r="M139" s="695">
        <f t="shared" ref="M139:M143" si="55">SUM(J139:K139)</f>
        <v>15</v>
      </c>
      <c r="N139" s="918" t="s">
        <v>23</v>
      </c>
      <c r="O139" s="918"/>
      <c r="P139" s="918"/>
      <c r="Q139" s="918" t="s">
        <v>23</v>
      </c>
      <c r="R139" s="918"/>
      <c r="S139" s="918"/>
      <c r="T139" s="918" t="s">
        <v>23</v>
      </c>
      <c r="U139" s="918"/>
      <c r="V139" s="918"/>
      <c r="W139" s="918" t="s">
        <v>23</v>
      </c>
      <c r="X139" s="918"/>
      <c r="Y139" s="918"/>
      <c r="Z139" s="918" t="s">
        <v>23</v>
      </c>
      <c r="AA139" s="918"/>
      <c r="AB139" s="918"/>
      <c r="AC139" s="918" t="s">
        <v>23</v>
      </c>
      <c r="AD139" s="918"/>
      <c r="AE139" s="918"/>
    </row>
    <row r="140" spans="2:31" ht="26.85" customHeight="1" x14ac:dyDescent="0.25">
      <c r="B140" s="345" t="s">
        <v>143</v>
      </c>
      <c r="C140" s="345"/>
      <c r="D140" s="248" t="s">
        <v>25</v>
      </c>
      <c r="E140" s="248"/>
      <c r="F140" s="760">
        <f>SUM('Ausgrid Workforce'!F124,'PLUS ES Workforce'!F138)</f>
        <v>5</v>
      </c>
      <c r="G140" s="760">
        <f>SUM('Ausgrid Workforce'!G124,'PLUS ES Workforce'!G138)</f>
        <v>25</v>
      </c>
      <c r="H140" s="760">
        <f>SUM('Ausgrid Workforce'!H124,'PLUS ES Workforce'!H138)</f>
        <v>0</v>
      </c>
      <c r="I140" s="760">
        <f t="shared" si="54"/>
        <v>30</v>
      </c>
      <c r="J140" s="702">
        <f>SUM('Ausgrid Workforce'!J124,'PLUS ES Workforce'!J138)</f>
        <v>10</v>
      </c>
      <c r="K140" s="702">
        <f>SUM('Ausgrid Workforce'!K124,'PLUS ES Workforce'!K138)</f>
        <v>27</v>
      </c>
      <c r="L140" s="702">
        <f>SUM('Ausgrid Workforce'!L124,'PLUS ES Workforce'!L138)</f>
        <v>0</v>
      </c>
      <c r="M140" s="695">
        <f t="shared" si="55"/>
        <v>37</v>
      </c>
      <c r="N140" s="918" t="s">
        <v>23</v>
      </c>
      <c r="O140" s="918"/>
      <c r="P140" s="918"/>
      <c r="Q140" s="918" t="s">
        <v>23</v>
      </c>
      <c r="R140" s="918"/>
      <c r="S140" s="918"/>
      <c r="T140" s="918" t="s">
        <v>23</v>
      </c>
      <c r="U140" s="918"/>
      <c r="V140" s="918"/>
      <c r="W140" s="918" t="s">
        <v>23</v>
      </c>
      <c r="X140" s="918"/>
      <c r="Y140" s="918"/>
      <c r="Z140" s="918" t="s">
        <v>23</v>
      </c>
      <c r="AA140" s="918"/>
      <c r="AB140" s="918"/>
      <c r="AC140" s="918" t="s">
        <v>23</v>
      </c>
      <c r="AD140" s="918"/>
      <c r="AE140" s="918"/>
    </row>
    <row r="141" spans="2:31" ht="26.85" customHeight="1" x14ac:dyDescent="0.25">
      <c r="B141" s="345" t="s">
        <v>144</v>
      </c>
      <c r="C141" s="345"/>
      <c r="D141" s="248" t="s">
        <v>25</v>
      </c>
      <c r="E141" s="248"/>
      <c r="F141" s="760">
        <f>SUM('Ausgrid Workforce'!F125,'PLUS ES Workforce'!F139)</f>
        <v>8</v>
      </c>
      <c r="G141" s="760">
        <f>SUM('Ausgrid Workforce'!G125,'PLUS ES Workforce'!G139)</f>
        <v>15</v>
      </c>
      <c r="H141" s="760">
        <f>SUM('Ausgrid Workforce'!H125,'PLUS ES Workforce'!H139)</f>
        <v>0</v>
      </c>
      <c r="I141" s="760">
        <f t="shared" si="54"/>
        <v>23</v>
      </c>
      <c r="J141" s="702">
        <f>SUM('Ausgrid Workforce'!J125,'PLUS ES Workforce'!J139)</f>
        <v>4</v>
      </c>
      <c r="K141" s="702">
        <f>SUM('Ausgrid Workforce'!K125,'PLUS ES Workforce'!K139)</f>
        <v>22</v>
      </c>
      <c r="L141" s="702">
        <f>SUM('Ausgrid Workforce'!L125,'PLUS ES Workforce'!L139)</f>
        <v>0</v>
      </c>
      <c r="M141" s="695">
        <f t="shared" si="55"/>
        <v>26</v>
      </c>
      <c r="N141" s="918" t="s">
        <v>23</v>
      </c>
      <c r="O141" s="918"/>
      <c r="P141" s="918"/>
      <c r="Q141" s="918" t="s">
        <v>23</v>
      </c>
      <c r="R141" s="918"/>
      <c r="S141" s="918"/>
      <c r="T141" s="918" t="s">
        <v>23</v>
      </c>
      <c r="U141" s="918"/>
      <c r="V141" s="918"/>
      <c r="W141" s="918" t="s">
        <v>23</v>
      </c>
      <c r="X141" s="918"/>
      <c r="Y141" s="918"/>
      <c r="Z141" s="918" t="s">
        <v>23</v>
      </c>
      <c r="AA141" s="918"/>
      <c r="AB141" s="918"/>
      <c r="AC141" s="918" t="s">
        <v>23</v>
      </c>
      <c r="AD141" s="918"/>
      <c r="AE141" s="918"/>
    </row>
    <row r="142" spans="2:31" ht="26.85" customHeight="1" x14ac:dyDescent="0.25">
      <c r="B142" s="345" t="s">
        <v>145</v>
      </c>
      <c r="C142" s="345"/>
      <c r="D142" s="248" t="s">
        <v>25</v>
      </c>
      <c r="E142" s="248"/>
      <c r="F142" s="760">
        <f>SUM('Ausgrid Workforce'!F126,'PLUS ES Workforce'!F140)</f>
        <v>5</v>
      </c>
      <c r="G142" s="760">
        <f>SUM('Ausgrid Workforce'!G126,'PLUS ES Workforce'!G140)</f>
        <v>19</v>
      </c>
      <c r="H142" s="760">
        <f>SUM('Ausgrid Workforce'!H126,'PLUS ES Workforce'!H140)</f>
        <v>0</v>
      </c>
      <c r="I142" s="760">
        <f t="shared" si="54"/>
        <v>24</v>
      </c>
      <c r="J142" s="702">
        <f>SUM('Ausgrid Workforce'!J126,'PLUS ES Workforce'!J140)</f>
        <v>3</v>
      </c>
      <c r="K142" s="702">
        <f>SUM('Ausgrid Workforce'!K126,'PLUS ES Workforce'!K140)</f>
        <v>21</v>
      </c>
      <c r="L142" s="702">
        <f>SUM('Ausgrid Workforce'!L126,'PLUS ES Workforce'!L140)</f>
        <v>0</v>
      </c>
      <c r="M142" s="695">
        <f t="shared" si="55"/>
        <v>24</v>
      </c>
      <c r="N142" s="918" t="s">
        <v>23</v>
      </c>
      <c r="O142" s="918"/>
      <c r="P142" s="918"/>
      <c r="Q142" s="918" t="s">
        <v>23</v>
      </c>
      <c r="R142" s="918"/>
      <c r="S142" s="918"/>
      <c r="T142" s="918" t="s">
        <v>23</v>
      </c>
      <c r="U142" s="918"/>
      <c r="V142" s="918"/>
      <c r="W142" s="918" t="s">
        <v>23</v>
      </c>
      <c r="X142" s="918"/>
      <c r="Y142" s="918"/>
      <c r="Z142" s="918" t="s">
        <v>23</v>
      </c>
      <c r="AA142" s="918"/>
      <c r="AB142" s="918"/>
      <c r="AC142" s="918" t="s">
        <v>23</v>
      </c>
      <c r="AD142" s="918"/>
      <c r="AE142" s="918"/>
    </row>
    <row r="143" spans="2:31" ht="26.85" customHeight="1" x14ac:dyDescent="0.25">
      <c r="B143" s="345" t="s">
        <v>146</v>
      </c>
      <c r="C143" s="345"/>
      <c r="D143" s="248" t="s">
        <v>25</v>
      </c>
      <c r="E143" s="248"/>
      <c r="F143" s="760">
        <f>SUM('Ausgrid Workforce'!F127,'PLUS ES Workforce'!F141)</f>
        <v>4</v>
      </c>
      <c r="G143" s="760">
        <f>SUM('Ausgrid Workforce'!G127,'PLUS ES Workforce'!G141)</f>
        <v>6</v>
      </c>
      <c r="H143" s="760">
        <f>SUM('Ausgrid Workforce'!H127,'PLUS ES Workforce'!H141)</f>
        <v>0</v>
      </c>
      <c r="I143" s="760">
        <f t="shared" si="54"/>
        <v>10</v>
      </c>
      <c r="J143" s="702">
        <f>SUM('Ausgrid Workforce'!J127,'PLUS ES Workforce'!J141)</f>
        <v>0</v>
      </c>
      <c r="K143" s="702">
        <f>SUM('Ausgrid Workforce'!K127,'PLUS ES Workforce'!K141)</f>
        <v>4</v>
      </c>
      <c r="L143" s="702">
        <f>SUM('Ausgrid Workforce'!L127,'PLUS ES Workforce'!L141)</f>
        <v>0</v>
      </c>
      <c r="M143" s="695">
        <f t="shared" si="55"/>
        <v>4</v>
      </c>
      <c r="N143" s="918" t="s">
        <v>23</v>
      </c>
      <c r="O143" s="918"/>
      <c r="P143" s="918"/>
      <c r="Q143" s="918" t="s">
        <v>23</v>
      </c>
      <c r="R143" s="918"/>
      <c r="S143" s="918"/>
      <c r="T143" s="918" t="s">
        <v>23</v>
      </c>
      <c r="U143" s="918"/>
      <c r="V143" s="918"/>
      <c r="W143" s="918" t="s">
        <v>23</v>
      </c>
      <c r="X143" s="918"/>
      <c r="Y143" s="918"/>
      <c r="Z143" s="918" t="s">
        <v>23</v>
      </c>
      <c r="AA143" s="918"/>
      <c r="AB143" s="918"/>
      <c r="AC143" s="918" t="s">
        <v>23</v>
      </c>
      <c r="AD143" s="918"/>
      <c r="AE143" s="918"/>
    </row>
    <row r="144" spans="2:31" ht="26.85" customHeight="1" x14ac:dyDescent="0.25">
      <c r="B144" s="345" t="s">
        <v>113</v>
      </c>
      <c r="C144" s="345"/>
      <c r="D144" s="193" t="s">
        <v>25</v>
      </c>
      <c r="E144" s="248"/>
      <c r="F144" s="750" t="s">
        <v>23</v>
      </c>
      <c r="G144" s="750" t="s">
        <v>23</v>
      </c>
      <c r="H144" s="760">
        <f>SUM('Ausgrid Workforce'!H128)</f>
        <v>1</v>
      </c>
      <c r="I144" s="760">
        <f>H144</f>
        <v>1</v>
      </c>
      <c r="J144" s="697" t="s">
        <v>23</v>
      </c>
      <c r="K144" s="697" t="s">
        <v>23</v>
      </c>
      <c r="L144" s="702">
        <f>SUM('Ausgrid Workforce'!L128)</f>
        <v>0</v>
      </c>
      <c r="M144" s="695">
        <f>L144</f>
        <v>0</v>
      </c>
      <c r="N144" s="191"/>
      <c r="O144" s="191"/>
      <c r="P144" s="191" t="s">
        <v>23</v>
      </c>
      <c r="Q144" s="191"/>
      <c r="R144" s="191"/>
      <c r="S144" s="191" t="s">
        <v>23</v>
      </c>
      <c r="T144" s="191"/>
      <c r="U144" s="191"/>
      <c r="V144" s="191" t="s">
        <v>23</v>
      </c>
      <c r="W144" s="191"/>
      <c r="X144" s="191"/>
      <c r="Y144" s="191" t="s">
        <v>23</v>
      </c>
      <c r="Z144" s="191"/>
      <c r="AA144" s="191"/>
      <c r="AB144" s="191" t="s">
        <v>23</v>
      </c>
      <c r="AC144" s="191"/>
      <c r="AD144" s="191"/>
      <c r="AE144" s="191" t="s">
        <v>23</v>
      </c>
    </row>
    <row r="145" spans="2:31" ht="26.85" customHeight="1" x14ac:dyDescent="0.25">
      <c r="B145" s="345" t="s">
        <v>102</v>
      </c>
      <c r="C145" s="345"/>
      <c r="D145" s="248" t="s">
        <v>25</v>
      </c>
      <c r="E145" s="248"/>
      <c r="F145" s="760">
        <f>SUM(F138:F143)</f>
        <v>28</v>
      </c>
      <c r="G145" s="760">
        <f>SUM(G138:G143)</f>
        <v>75</v>
      </c>
      <c r="H145" s="760">
        <f>SUM('Ausgrid Workforce'!H129,'PLUS ES Workforce'!H124)</f>
        <v>1</v>
      </c>
      <c r="I145" s="760">
        <f>SUM(F145:H145)</f>
        <v>104</v>
      </c>
      <c r="J145" s="702">
        <f>SUM(J138:J143)</f>
        <v>22</v>
      </c>
      <c r="K145" s="702">
        <f>SUM(K138:K143)</f>
        <v>85</v>
      </c>
      <c r="L145" s="702">
        <f>SUM('Ausgrid Workforce'!L129,'PLUS ES Workforce'!L124)</f>
        <v>0</v>
      </c>
      <c r="M145" s="695">
        <f>SUM(J145:L145)</f>
        <v>107</v>
      </c>
      <c r="N145" s="918" t="s">
        <v>23</v>
      </c>
      <c r="O145" s="918"/>
      <c r="P145" s="918"/>
      <c r="Q145" s="918" t="s">
        <v>23</v>
      </c>
      <c r="R145" s="918"/>
      <c r="S145" s="918"/>
      <c r="T145" s="918" t="s">
        <v>23</v>
      </c>
      <c r="U145" s="918"/>
      <c r="V145" s="918"/>
      <c r="W145" s="918" t="s">
        <v>23</v>
      </c>
      <c r="X145" s="918"/>
      <c r="Y145" s="918"/>
      <c r="Z145" s="918" t="s">
        <v>23</v>
      </c>
      <c r="AA145" s="918"/>
      <c r="AB145" s="918"/>
      <c r="AC145" s="918" t="s">
        <v>23</v>
      </c>
      <c r="AD145" s="918"/>
      <c r="AE145" s="918"/>
    </row>
    <row r="146" spans="2:31" s="46" customFormat="1" ht="26.85" customHeight="1" x14ac:dyDescent="0.25">
      <c r="B146" s="517" t="s">
        <v>149</v>
      </c>
      <c r="C146" s="264"/>
      <c r="D146" s="549"/>
      <c r="E146" s="549"/>
      <c r="F146" s="550"/>
      <c r="G146" s="550"/>
      <c r="H146" s="550"/>
      <c r="I146" s="550"/>
      <c r="J146" s="550"/>
      <c r="K146" s="550"/>
      <c r="L146" s="550"/>
      <c r="M146" s="550"/>
      <c r="N146" s="551"/>
      <c r="O146" s="551"/>
      <c r="P146" s="551"/>
      <c r="Q146" s="551"/>
      <c r="R146" s="551"/>
      <c r="S146" s="551"/>
      <c r="T146" s="551"/>
      <c r="U146" s="551"/>
      <c r="V146" s="551"/>
      <c r="W146" s="551"/>
      <c r="X146" s="551"/>
      <c r="Y146" s="551"/>
      <c r="Z146" s="551"/>
      <c r="AA146" s="551"/>
      <c r="AB146" s="551"/>
      <c r="AC146" s="551"/>
      <c r="AD146" s="551"/>
      <c r="AE146" s="551"/>
    </row>
    <row r="147" spans="2:31" s="46" customFormat="1" ht="50.1" customHeight="1" x14ac:dyDescent="0.25">
      <c r="B147" s="535"/>
      <c r="C147" s="17"/>
      <c r="D147" s="295"/>
      <c r="E147" s="295"/>
      <c r="F147" s="550"/>
      <c r="G147" s="461"/>
      <c r="H147" s="461"/>
      <c r="I147" s="461"/>
      <c r="J147" s="461"/>
      <c r="K147" s="461"/>
      <c r="L147" s="461"/>
      <c r="M147" s="461"/>
      <c r="N147" s="296"/>
      <c r="O147" s="296"/>
      <c r="P147" s="296"/>
      <c r="Q147" s="296"/>
      <c r="R147" s="296"/>
      <c r="S147" s="296"/>
      <c r="T147" s="296"/>
      <c r="U147" s="296"/>
      <c r="V147" s="296"/>
      <c r="W147" s="296"/>
      <c r="X147" s="296"/>
      <c r="Y147" s="296"/>
      <c r="Z147" s="296"/>
      <c r="AA147" s="296"/>
      <c r="AB147" s="296"/>
      <c r="AC147" s="296"/>
      <c r="AD147" s="296"/>
      <c r="AE147" s="296"/>
    </row>
    <row r="148" spans="2:31" s="46" customFormat="1" ht="26.85" customHeight="1" x14ac:dyDescent="0.2">
      <c r="B148" s="6" t="s">
        <v>150</v>
      </c>
      <c r="C148" s="6"/>
      <c r="D148" s="7" t="s">
        <v>9</v>
      </c>
      <c r="E148" s="7"/>
      <c r="F148" s="930" t="s">
        <v>10</v>
      </c>
      <c r="G148" s="930"/>
      <c r="H148" s="930"/>
      <c r="I148" s="930"/>
      <c r="J148" s="930" t="s">
        <v>11</v>
      </c>
      <c r="K148" s="930"/>
      <c r="L148" s="930"/>
      <c r="M148" s="930"/>
      <c r="N148" s="920" t="s">
        <v>12</v>
      </c>
      <c r="O148" s="920"/>
      <c r="P148" s="920"/>
      <c r="Q148" s="920" t="s">
        <v>13</v>
      </c>
      <c r="R148" s="920"/>
      <c r="S148" s="920"/>
      <c r="T148" s="920" t="s">
        <v>14</v>
      </c>
      <c r="U148" s="920"/>
      <c r="V148" s="920"/>
      <c r="W148" s="920" t="s">
        <v>15</v>
      </c>
      <c r="X148" s="920"/>
      <c r="Y148" s="920"/>
      <c r="Z148" s="920" t="s">
        <v>16</v>
      </c>
      <c r="AA148" s="920"/>
      <c r="AB148" s="920"/>
      <c r="AC148" s="920" t="s">
        <v>17</v>
      </c>
      <c r="AD148" s="920"/>
      <c r="AE148" s="920"/>
    </row>
    <row r="149" spans="2:31" ht="26.85" customHeight="1" x14ac:dyDescent="0.25">
      <c r="B149" s="198"/>
      <c r="C149" s="198"/>
      <c r="D149" s="180"/>
      <c r="E149" s="180"/>
      <c r="F149" s="182" t="s">
        <v>99</v>
      </c>
      <c r="G149" s="182" t="s">
        <v>100</v>
      </c>
      <c r="H149" s="532" t="s">
        <v>101</v>
      </c>
      <c r="I149" s="182" t="s">
        <v>102</v>
      </c>
      <c r="J149" s="452" t="s">
        <v>99</v>
      </c>
      <c r="K149" s="452" t="s">
        <v>100</v>
      </c>
      <c r="L149" s="690" t="s">
        <v>101</v>
      </c>
      <c r="M149" s="452" t="s">
        <v>102</v>
      </c>
      <c r="N149" s="183" t="s">
        <v>99</v>
      </c>
      <c r="O149" s="183" t="s">
        <v>100</v>
      </c>
      <c r="P149" s="183" t="s">
        <v>102</v>
      </c>
      <c r="Q149" s="183" t="s">
        <v>99</v>
      </c>
      <c r="R149" s="183" t="s">
        <v>100</v>
      </c>
      <c r="S149" s="183" t="s">
        <v>102</v>
      </c>
      <c r="T149" s="183" t="s">
        <v>99</v>
      </c>
      <c r="U149" s="183" t="s">
        <v>100</v>
      </c>
      <c r="V149" s="183" t="s">
        <v>102</v>
      </c>
      <c r="W149" s="183" t="s">
        <v>99</v>
      </c>
      <c r="X149" s="183" t="s">
        <v>100</v>
      </c>
      <c r="Y149" s="183" t="s">
        <v>102</v>
      </c>
      <c r="Z149" s="183" t="s">
        <v>99</v>
      </c>
      <c r="AA149" s="183" t="s">
        <v>100</v>
      </c>
      <c r="AB149" s="183" t="s">
        <v>102</v>
      </c>
      <c r="AC149" s="183" t="s">
        <v>99</v>
      </c>
      <c r="AD149" s="183" t="s">
        <v>100</v>
      </c>
      <c r="AE149" s="183" t="s">
        <v>102</v>
      </c>
    </row>
    <row r="150" spans="2:31" ht="26.85" customHeight="1" x14ac:dyDescent="0.25">
      <c r="B150" s="193" t="s">
        <v>151</v>
      </c>
      <c r="C150" s="193"/>
      <c r="D150" s="193" t="s">
        <v>25</v>
      </c>
      <c r="E150" s="193"/>
      <c r="F150" s="772">
        <f>SUM('Ausgrid Workforce'!F143,'PLUS ES Workforce'!F147)</f>
        <v>590</v>
      </c>
      <c r="G150" s="773">
        <f>SUM('Ausgrid Workforce'!G143,'PLUS ES Workforce'!G147)</f>
        <v>2456</v>
      </c>
      <c r="H150" s="772">
        <f>SUM('Ausgrid Workforce'!H143,'PLUS ES Workforce'!H147)</f>
        <v>6</v>
      </c>
      <c r="I150" s="774">
        <f>SUM(F150:H150)</f>
        <v>3052</v>
      </c>
      <c r="J150" s="702">
        <f>SUM('Ausgrid Workforce'!J143,'PLUS ES Workforce'!J147)</f>
        <v>544</v>
      </c>
      <c r="K150" s="704">
        <f>SUM('Ausgrid Workforce'!K143,'PLUS ES Workforce'!K147)</f>
        <v>2385</v>
      </c>
      <c r="L150" s="702">
        <f>SUM('Ausgrid Workforce'!L143,'PLUS ES Workforce'!L147)</f>
        <v>6</v>
      </c>
      <c r="M150" s="688">
        <f>SUM(J150:L150)</f>
        <v>2935</v>
      </c>
      <c r="N150" s="372" t="s">
        <v>23</v>
      </c>
      <c r="O150" s="372" t="s">
        <v>23</v>
      </c>
      <c r="P150" s="372" t="s">
        <v>23</v>
      </c>
      <c r="Q150" s="372" t="s">
        <v>23</v>
      </c>
      <c r="R150" s="372" t="s">
        <v>23</v>
      </c>
      <c r="S150" s="372" t="s">
        <v>23</v>
      </c>
      <c r="T150" s="372" t="s">
        <v>23</v>
      </c>
      <c r="U150" s="372" t="s">
        <v>23</v>
      </c>
      <c r="V150" s="372" t="s">
        <v>23</v>
      </c>
      <c r="W150" s="372" t="s">
        <v>23</v>
      </c>
      <c r="X150" s="372" t="s">
        <v>23</v>
      </c>
      <c r="Y150" s="372" t="s">
        <v>23</v>
      </c>
      <c r="Z150" s="372" t="s">
        <v>23</v>
      </c>
      <c r="AA150" s="372" t="s">
        <v>23</v>
      </c>
      <c r="AB150" s="372" t="s">
        <v>23</v>
      </c>
      <c r="AC150" s="372" t="s">
        <v>23</v>
      </c>
      <c r="AD150" s="372" t="s">
        <v>23</v>
      </c>
      <c r="AE150" s="372" t="s">
        <v>23</v>
      </c>
    </row>
    <row r="151" spans="2:31" ht="26.85" customHeight="1" x14ac:dyDescent="0.25">
      <c r="B151" s="193" t="s">
        <v>152</v>
      </c>
      <c r="C151" s="193"/>
      <c r="D151" s="193" t="s">
        <v>25</v>
      </c>
      <c r="E151" s="193"/>
      <c r="F151" s="772">
        <f>SUM('Ausgrid Workforce'!F144,'PLUS ES Workforce'!F148)</f>
        <v>34</v>
      </c>
      <c r="G151" s="772">
        <f>SUM('Ausgrid Workforce'!G144,'PLUS ES Workforce'!G148)</f>
        <v>192</v>
      </c>
      <c r="H151" s="772">
        <f>SUM('Ausgrid Workforce'!H144,'PLUS ES Workforce'!H148)</f>
        <v>0</v>
      </c>
      <c r="I151" s="775">
        <f t="shared" ref="I151:I152" si="56">SUM(F151:G151)</f>
        <v>226</v>
      </c>
      <c r="J151" s="702">
        <f>SUM('Ausgrid Workforce'!J144,'PLUS ES Workforce'!J148)</f>
        <v>34</v>
      </c>
      <c r="K151" s="702">
        <f>SUM('Ausgrid Workforce'!K144,'PLUS ES Workforce'!K148)</f>
        <v>178</v>
      </c>
      <c r="L151" s="702">
        <f>SUM('Ausgrid Workforce'!L144,'PLUS ES Workforce'!L148)</f>
        <v>0</v>
      </c>
      <c r="M151" s="695">
        <f t="shared" ref="M151:M152" si="57">SUM(J151:K151)</f>
        <v>212</v>
      </c>
      <c r="N151" s="372" t="s">
        <v>23</v>
      </c>
      <c r="O151" s="372" t="s">
        <v>23</v>
      </c>
      <c r="P151" s="372" t="s">
        <v>23</v>
      </c>
      <c r="Q151" s="372" t="s">
        <v>23</v>
      </c>
      <c r="R151" s="372" t="s">
        <v>23</v>
      </c>
      <c r="S151" s="372" t="s">
        <v>23</v>
      </c>
      <c r="T151" s="372" t="s">
        <v>23</v>
      </c>
      <c r="U151" s="372" t="s">
        <v>23</v>
      </c>
      <c r="V151" s="372" t="s">
        <v>23</v>
      </c>
      <c r="W151" s="372" t="s">
        <v>23</v>
      </c>
      <c r="X151" s="372" t="s">
        <v>23</v>
      </c>
      <c r="Y151" s="372" t="s">
        <v>23</v>
      </c>
      <c r="Z151" s="372" t="s">
        <v>23</v>
      </c>
      <c r="AA151" s="372" t="s">
        <v>23</v>
      </c>
      <c r="AB151" s="372" t="s">
        <v>23</v>
      </c>
      <c r="AC151" s="372" t="s">
        <v>23</v>
      </c>
      <c r="AD151" s="372" t="s">
        <v>23</v>
      </c>
      <c r="AE151" s="372" t="s">
        <v>23</v>
      </c>
    </row>
    <row r="152" spans="2:31" ht="26.85" customHeight="1" x14ac:dyDescent="0.25">
      <c r="B152" s="193" t="s">
        <v>153</v>
      </c>
      <c r="C152" s="193"/>
      <c r="D152" s="193" t="s">
        <v>25</v>
      </c>
      <c r="E152" s="193"/>
      <c r="F152" s="772">
        <f>SUM('Ausgrid Workforce'!F145,'PLUS ES Workforce'!F149)</f>
        <v>34</v>
      </c>
      <c r="G152" s="772">
        <f>SUM('Ausgrid Workforce'!G145,'PLUS ES Workforce'!G149)</f>
        <v>190</v>
      </c>
      <c r="H152" s="772">
        <f>SUM('Ausgrid Workforce'!H145,'PLUS ES Workforce'!H149)</f>
        <v>0</v>
      </c>
      <c r="I152" s="775">
        <f t="shared" si="56"/>
        <v>224</v>
      </c>
      <c r="J152" s="702">
        <f>SUM('Ausgrid Workforce'!J145,'PLUS ES Workforce'!J149)</f>
        <v>34</v>
      </c>
      <c r="K152" s="702">
        <f>SUM('Ausgrid Workforce'!K145,'PLUS ES Workforce'!K149)</f>
        <v>176</v>
      </c>
      <c r="L152" s="702">
        <f>SUM('Ausgrid Workforce'!L145,'PLUS ES Workforce'!L149)</f>
        <v>0</v>
      </c>
      <c r="M152" s="695">
        <f t="shared" si="57"/>
        <v>210</v>
      </c>
      <c r="N152" s="372" t="s">
        <v>23</v>
      </c>
      <c r="O152" s="372" t="s">
        <v>23</v>
      </c>
      <c r="P152" s="372" t="s">
        <v>23</v>
      </c>
      <c r="Q152" s="372" t="s">
        <v>23</v>
      </c>
      <c r="R152" s="372" t="s">
        <v>23</v>
      </c>
      <c r="S152" s="372" t="s">
        <v>23</v>
      </c>
      <c r="T152" s="372" t="s">
        <v>23</v>
      </c>
      <c r="U152" s="372" t="s">
        <v>23</v>
      </c>
      <c r="V152" s="372" t="s">
        <v>23</v>
      </c>
      <c r="W152" s="372" t="s">
        <v>23</v>
      </c>
      <c r="X152" s="372" t="s">
        <v>23</v>
      </c>
      <c r="Y152" s="372" t="s">
        <v>23</v>
      </c>
      <c r="Z152" s="372" t="s">
        <v>23</v>
      </c>
      <c r="AA152" s="372" t="s">
        <v>23</v>
      </c>
      <c r="AB152" s="372" t="s">
        <v>23</v>
      </c>
      <c r="AC152" s="372" t="s">
        <v>23</v>
      </c>
      <c r="AD152" s="372" t="s">
        <v>23</v>
      </c>
      <c r="AE152" s="372" t="s">
        <v>23</v>
      </c>
    </row>
    <row r="153" spans="2:31" ht="26.85" customHeight="1" x14ac:dyDescent="0.25">
      <c r="B153" s="193" t="s">
        <v>154</v>
      </c>
      <c r="C153" s="193"/>
      <c r="D153" s="193" t="s">
        <v>25</v>
      </c>
      <c r="E153" s="193"/>
      <c r="F153" s="267">
        <v>34</v>
      </c>
      <c r="G153" s="267">
        <v>165</v>
      </c>
      <c r="H153" s="267">
        <v>0</v>
      </c>
      <c r="I153" s="775">
        <f>SUM(F153:G153)</f>
        <v>199</v>
      </c>
      <c r="J153" s="695">
        <v>31</v>
      </c>
      <c r="K153" s="695">
        <v>162</v>
      </c>
      <c r="L153" s="695">
        <v>0</v>
      </c>
      <c r="M153" s="695">
        <f>SUM(J153:K153)</f>
        <v>193</v>
      </c>
      <c r="N153" s="372" t="s">
        <v>23</v>
      </c>
      <c r="O153" s="372" t="s">
        <v>23</v>
      </c>
      <c r="P153" s="372" t="s">
        <v>23</v>
      </c>
      <c r="Q153" s="372" t="s">
        <v>23</v>
      </c>
      <c r="R153" s="372" t="s">
        <v>23</v>
      </c>
      <c r="S153" s="372" t="s">
        <v>23</v>
      </c>
      <c r="T153" s="372" t="s">
        <v>23</v>
      </c>
      <c r="U153" s="372" t="s">
        <v>23</v>
      </c>
      <c r="V153" s="372" t="s">
        <v>23</v>
      </c>
      <c r="W153" s="372" t="s">
        <v>23</v>
      </c>
      <c r="X153" s="372" t="s">
        <v>23</v>
      </c>
      <c r="Y153" s="372" t="s">
        <v>23</v>
      </c>
      <c r="Z153" s="372" t="s">
        <v>23</v>
      </c>
      <c r="AA153" s="372" t="s">
        <v>23</v>
      </c>
      <c r="AB153" s="372" t="s">
        <v>23</v>
      </c>
      <c r="AC153" s="372" t="s">
        <v>23</v>
      </c>
      <c r="AD153" s="372" t="s">
        <v>23</v>
      </c>
      <c r="AE153" s="372" t="s">
        <v>23</v>
      </c>
    </row>
    <row r="154" spans="2:31" ht="39.6" customHeight="1" x14ac:dyDescent="0.25">
      <c r="B154" s="248" t="s">
        <v>155</v>
      </c>
      <c r="C154" s="193"/>
      <c r="D154" s="193" t="s">
        <v>31</v>
      </c>
      <c r="E154" s="193"/>
      <c r="F154" s="776">
        <v>1</v>
      </c>
      <c r="G154" s="776">
        <v>0.92689999999999995</v>
      </c>
      <c r="H154" s="777" t="s">
        <v>23</v>
      </c>
      <c r="I154" s="778">
        <v>0.93859999999999999</v>
      </c>
      <c r="J154" s="692">
        <v>0.91176470588235292</v>
      </c>
      <c r="K154" s="692">
        <v>0.94186046511627908</v>
      </c>
      <c r="L154" s="705" t="s">
        <v>23</v>
      </c>
      <c r="M154" s="692">
        <v>0.93689320388349517</v>
      </c>
      <c r="N154" s="372" t="s">
        <v>23</v>
      </c>
      <c r="O154" s="372" t="s">
        <v>23</v>
      </c>
      <c r="P154" s="372" t="s">
        <v>23</v>
      </c>
      <c r="Q154" s="372" t="s">
        <v>23</v>
      </c>
      <c r="R154" s="372" t="s">
        <v>23</v>
      </c>
      <c r="S154" s="372" t="s">
        <v>23</v>
      </c>
      <c r="T154" s="372" t="s">
        <v>23</v>
      </c>
      <c r="U154" s="372" t="s">
        <v>23</v>
      </c>
      <c r="V154" s="372" t="s">
        <v>23</v>
      </c>
      <c r="W154" s="372" t="s">
        <v>23</v>
      </c>
      <c r="X154" s="372" t="s">
        <v>23</v>
      </c>
      <c r="Y154" s="372" t="s">
        <v>23</v>
      </c>
      <c r="Z154" s="372" t="s">
        <v>23</v>
      </c>
      <c r="AA154" s="372" t="s">
        <v>23</v>
      </c>
      <c r="AB154" s="372" t="s">
        <v>23</v>
      </c>
      <c r="AC154" s="372" t="s">
        <v>23</v>
      </c>
      <c r="AD154" s="372" t="s">
        <v>23</v>
      </c>
      <c r="AE154" s="372" t="s">
        <v>23</v>
      </c>
    </row>
    <row r="155" spans="2:31" ht="50.1" customHeight="1" x14ac:dyDescent="0.2">
      <c r="B155" s="285"/>
      <c r="C155" s="285"/>
      <c r="D155" s="10"/>
      <c r="E155" s="10"/>
      <c r="F155" s="298"/>
      <c r="G155" s="298"/>
      <c r="H155" s="298"/>
      <c r="I155" s="299"/>
      <c r="J155" s="298"/>
      <c r="K155" s="298"/>
      <c r="L155" s="298"/>
      <c r="M155" s="299"/>
      <c r="N155" s="11"/>
      <c r="O155" s="11"/>
      <c r="P155" s="11"/>
      <c r="Q155" s="11"/>
      <c r="R155" s="11"/>
      <c r="S155" s="11"/>
      <c r="T155" s="11"/>
      <c r="U155" s="11"/>
      <c r="V155" s="11"/>
      <c r="W155" s="11"/>
      <c r="X155" s="11"/>
      <c r="Y155" s="11"/>
      <c r="Z155" s="11"/>
      <c r="AA155" s="11"/>
      <c r="AB155" s="11"/>
      <c r="AC155" s="11"/>
      <c r="AD155" s="11"/>
      <c r="AE155" s="11"/>
    </row>
    <row r="156" spans="2:31" ht="26.85" customHeight="1" x14ac:dyDescent="0.2">
      <c r="B156" s="6" t="s">
        <v>156</v>
      </c>
      <c r="C156" s="6"/>
      <c r="D156" s="7" t="s">
        <v>9</v>
      </c>
      <c r="E156" s="7"/>
      <c r="F156" s="930" t="s">
        <v>10</v>
      </c>
      <c r="G156" s="930"/>
      <c r="H156" s="930"/>
      <c r="I156" s="930"/>
      <c r="J156" s="930" t="s">
        <v>11</v>
      </c>
      <c r="K156" s="930"/>
      <c r="L156" s="930"/>
      <c r="M156" s="930"/>
      <c r="N156" s="920" t="s">
        <v>12</v>
      </c>
      <c r="O156" s="920"/>
      <c r="P156" s="920"/>
      <c r="Q156" s="920" t="s">
        <v>13</v>
      </c>
      <c r="R156" s="920"/>
      <c r="S156" s="920"/>
      <c r="T156" s="920" t="s">
        <v>14</v>
      </c>
      <c r="U156" s="920"/>
      <c r="V156" s="920"/>
      <c r="W156" s="920" t="s">
        <v>15</v>
      </c>
      <c r="X156" s="920"/>
      <c r="Y156" s="920"/>
      <c r="Z156" s="920" t="s">
        <v>16</v>
      </c>
      <c r="AA156" s="920"/>
      <c r="AB156" s="920"/>
      <c r="AC156" s="920" t="s">
        <v>17</v>
      </c>
      <c r="AD156" s="920"/>
      <c r="AE156" s="920"/>
    </row>
    <row r="157" spans="2:31" ht="26.85" customHeight="1" x14ac:dyDescent="0.25">
      <c r="B157" s="180" t="s">
        <v>141</v>
      </c>
      <c r="C157" s="180"/>
      <c r="D157" s="286" t="s">
        <v>31</v>
      </c>
      <c r="E157" s="286"/>
      <c r="F157" s="948">
        <v>4.1500000000000002E-2</v>
      </c>
      <c r="G157" s="948"/>
      <c r="H157" s="948"/>
      <c r="I157" s="948"/>
      <c r="J157" s="924">
        <v>3.5999999999999997E-2</v>
      </c>
      <c r="K157" s="924"/>
      <c r="L157" s="924"/>
      <c r="M157" s="924"/>
      <c r="N157" s="918" t="s">
        <v>23</v>
      </c>
      <c r="O157" s="918"/>
      <c r="P157" s="918"/>
      <c r="Q157" s="918" t="s">
        <v>23</v>
      </c>
      <c r="R157" s="918"/>
      <c r="S157" s="918"/>
      <c r="T157" s="918" t="s">
        <v>23</v>
      </c>
      <c r="U157" s="918"/>
      <c r="V157" s="918"/>
      <c r="W157" s="918" t="s">
        <v>23</v>
      </c>
      <c r="X157" s="918"/>
      <c r="Y157" s="918"/>
      <c r="Z157" s="918" t="s">
        <v>23</v>
      </c>
      <c r="AA157" s="918"/>
      <c r="AB157" s="918"/>
      <c r="AC157" s="918" t="s">
        <v>23</v>
      </c>
      <c r="AD157" s="918"/>
      <c r="AE157" s="918"/>
    </row>
    <row r="158" spans="2:31" ht="26.85" customHeight="1" x14ac:dyDescent="0.25">
      <c r="B158" s="180" t="s">
        <v>142</v>
      </c>
      <c r="C158" s="180"/>
      <c r="D158" s="286" t="s">
        <v>31</v>
      </c>
      <c r="E158" s="286"/>
      <c r="F158" s="948">
        <v>0.12130000000000001</v>
      </c>
      <c r="G158" s="948"/>
      <c r="H158" s="948"/>
      <c r="I158" s="948"/>
      <c r="J158" s="924">
        <v>0.12570000000000001</v>
      </c>
      <c r="K158" s="924"/>
      <c r="L158" s="924"/>
      <c r="M158" s="924"/>
      <c r="N158" s="918" t="s">
        <v>23</v>
      </c>
      <c r="O158" s="918"/>
      <c r="P158" s="918"/>
      <c r="Q158" s="918" t="s">
        <v>23</v>
      </c>
      <c r="R158" s="918"/>
      <c r="S158" s="918"/>
      <c r="T158" s="918" t="s">
        <v>23</v>
      </c>
      <c r="U158" s="918"/>
      <c r="V158" s="918"/>
      <c r="W158" s="918" t="s">
        <v>23</v>
      </c>
      <c r="X158" s="918"/>
      <c r="Y158" s="918"/>
      <c r="Z158" s="918" t="s">
        <v>23</v>
      </c>
      <c r="AA158" s="918"/>
      <c r="AB158" s="918"/>
      <c r="AC158" s="918" t="s">
        <v>23</v>
      </c>
      <c r="AD158" s="918"/>
      <c r="AE158" s="918"/>
    </row>
    <row r="159" spans="2:31" ht="26.85" customHeight="1" x14ac:dyDescent="0.25">
      <c r="B159" s="180" t="s">
        <v>143</v>
      </c>
      <c r="C159" s="180"/>
      <c r="D159" s="286" t="s">
        <v>31</v>
      </c>
      <c r="E159" s="286"/>
      <c r="F159" s="948">
        <v>0.33310000000000001</v>
      </c>
      <c r="G159" s="948"/>
      <c r="H159" s="948"/>
      <c r="I159" s="948"/>
      <c r="J159" s="924">
        <v>0.34139999999999998</v>
      </c>
      <c r="K159" s="924"/>
      <c r="L159" s="924"/>
      <c r="M159" s="924"/>
      <c r="N159" s="918" t="s">
        <v>23</v>
      </c>
      <c r="O159" s="918"/>
      <c r="P159" s="918"/>
      <c r="Q159" s="918" t="s">
        <v>23</v>
      </c>
      <c r="R159" s="918"/>
      <c r="S159" s="918"/>
      <c r="T159" s="918" t="s">
        <v>23</v>
      </c>
      <c r="U159" s="918"/>
      <c r="V159" s="918"/>
      <c r="W159" s="918" t="s">
        <v>23</v>
      </c>
      <c r="X159" s="918"/>
      <c r="Y159" s="918"/>
      <c r="Z159" s="918" t="s">
        <v>23</v>
      </c>
      <c r="AA159" s="918"/>
      <c r="AB159" s="918"/>
      <c r="AC159" s="918" t="s">
        <v>23</v>
      </c>
      <c r="AD159" s="918"/>
      <c r="AE159" s="918"/>
    </row>
    <row r="160" spans="2:31" ht="26.85" customHeight="1" x14ac:dyDescent="0.25">
      <c r="B160" s="180" t="s">
        <v>144</v>
      </c>
      <c r="C160" s="180"/>
      <c r="D160" s="286" t="s">
        <v>31</v>
      </c>
      <c r="E160" s="286"/>
      <c r="F160" s="949">
        <v>0.3155</v>
      </c>
      <c r="G160" s="949"/>
      <c r="H160" s="949"/>
      <c r="I160" s="949"/>
      <c r="J160" s="937">
        <v>0.31979999999999997</v>
      </c>
      <c r="K160" s="937"/>
      <c r="L160" s="937"/>
      <c r="M160" s="937"/>
      <c r="N160" s="918" t="s">
        <v>23</v>
      </c>
      <c r="O160" s="918"/>
      <c r="P160" s="918"/>
      <c r="Q160" s="918" t="s">
        <v>23</v>
      </c>
      <c r="R160" s="918"/>
      <c r="S160" s="918"/>
      <c r="T160" s="918" t="s">
        <v>23</v>
      </c>
      <c r="U160" s="918"/>
      <c r="V160" s="918"/>
      <c r="W160" s="918" t="s">
        <v>23</v>
      </c>
      <c r="X160" s="918"/>
      <c r="Y160" s="918"/>
      <c r="Z160" s="918" t="s">
        <v>23</v>
      </c>
      <c r="AA160" s="918"/>
      <c r="AB160" s="918"/>
      <c r="AC160" s="918" t="s">
        <v>23</v>
      </c>
      <c r="AD160" s="918"/>
      <c r="AE160" s="918"/>
    </row>
    <row r="161" spans="2:31" ht="26.85" customHeight="1" x14ac:dyDescent="0.25">
      <c r="B161" s="180" t="s">
        <v>145</v>
      </c>
      <c r="C161" s="180"/>
      <c r="D161" s="286" t="s">
        <v>31</v>
      </c>
      <c r="E161" s="286"/>
      <c r="F161" s="948">
        <v>0.16500000000000001</v>
      </c>
      <c r="G161" s="948"/>
      <c r="H161" s="948"/>
      <c r="I161" s="948"/>
      <c r="J161" s="924">
        <v>0.15720000000000001</v>
      </c>
      <c r="K161" s="924"/>
      <c r="L161" s="924"/>
      <c r="M161" s="924"/>
      <c r="N161" s="918" t="s">
        <v>23</v>
      </c>
      <c r="O161" s="918"/>
      <c r="P161" s="918"/>
      <c r="Q161" s="918" t="s">
        <v>23</v>
      </c>
      <c r="R161" s="918"/>
      <c r="S161" s="918"/>
      <c r="T161" s="918" t="s">
        <v>23</v>
      </c>
      <c r="U161" s="918"/>
      <c r="V161" s="918"/>
      <c r="W161" s="918" t="s">
        <v>23</v>
      </c>
      <c r="X161" s="918"/>
      <c r="Y161" s="918"/>
      <c r="Z161" s="918" t="s">
        <v>23</v>
      </c>
      <c r="AA161" s="918"/>
      <c r="AB161" s="918"/>
      <c r="AC161" s="918" t="s">
        <v>23</v>
      </c>
      <c r="AD161" s="918"/>
      <c r="AE161" s="918"/>
    </row>
    <row r="162" spans="2:31" ht="26.85" customHeight="1" x14ac:dyDescent="0.25">
      <c r="B162" s="180" t="s">
        <v>146</v>
      </c>
      <c r="C162" s="180"/>
      <c r="D162" s="286" t="s">
        <v>31</v>
      </c>
      <c r="E162" s="286"/>
      <c r="F162" s="949">
        <v>2.3599999999999999E-2</v>
      </c>
      <c r="G162" s="949"/>
      <c r="H162" s="949"/>
      <c r="I162" s="949"/>
      <c r="J162" s="937">
        <v>1.9900000000000001E-2</v>
      </c>
      <c r="K162" s="937"/>
      <c r="L162" s="937"/>
      <c r="M162" s="937"/>
      <c r="N162" s="918" t="s">
        <v>23</v>
      </c>
      <c r="O162" s="918"/>
      <c r="P162" s="918"/>
      <c r="Q162" s="918" t="s">
        <v>23</v>
      </c>
      <c r="R162" s="918"/>
      <c r="S162" s="918"/>
      <c r="T162" s="918" t="s">
        <v>23</v>
      </c>
      <c r="U162" s="918"/>
      <c r="V162" s="918"/>
      <c r="W162" s="918" t="s">
        <v>23</v>
      </c>
      <c r="X162" s="918"/>
      <c r="Y162" s="918"/>
      <c r="Z162" s="918" t="s">
        <v>23</v>
      </c>
      <c r="AA162" s="918"/>
      <c r="AB162" s="918"/>
      <c r="AC162" s="918" t="s">
        <v>23</v>
      </c>
      <c r="AD162" s="918"/>
      <c r="AE162" s="918"/>
    </row>
    <row r="163" spans="2:31" ht="50.1" customHeight="1" x14ac:dyDescent="0.2">
      <c r="B163" s="10"/>
      <c r="C163" s="10"/>
      <c r="D163" s="300"/>
      <c r="E163" s="300"/>
      <c r="F163" s="507"/>
      <c r="G163" s="507"/>
      <c r="H163" s="507"/>
      <c r="I163" s="507"/>
      <c r="J163" s="507"/>
      <c r="K163" s="507"/>
      <c r="L163" s="507"/>
      <c r="M163" s="507"/>
      <c r="N163" s="301"/>
      <c r="O163" s="301"/>
      <c r="P163" s="301"/>
      <c r="Q163" s="301"/>
      <c r="R163" s="301"/>
      <c r="S163" s="301"/>
      <c r="T163" s="301"/>
      <c r="U163" s="301"/>
      <c r="V163" s="301"/>
      <c r="W163" s="301"/>
      <c r="X163" s="301"/>
      <c r="Y163" s="301"/>
      <c r="Z163" s="301"/>
      <c r="AA163" s="301"/>
      <c r="AB163" s="301"/>
      <c r="AC163" s="301"/>
      <c r="AD163" s="301"/>
      <c r="AE163" s="301"/>
    </row>
    <row r="164" spans="2:31" ht="26.85" customHeight="1" x14ac:dyDescent="0.2">
      <c r="B164" s="6" t="s">
        <v>157</v>
      </c>
      <c r="C164" s="6"/>
      <c r="D164" s="7" t="s">
        <v>9</v>
      </c>
      <c r="E164" s="7"/>
      <c r="F164" s="945" t="s">
        <v>10</v>
      </c>
      <c r="G164" s="945"/>
      <c r="H164" s="945"/>
      <c r="I164" s="945"/>
      <c r="J164" s="945" t="s">
        <v>11</v>
      </c>
      <c r="K164" s="945"/>
      <c r="L164" s="945"/>
      <c r="M164" s="945"/>
      <c r="N164" s="920" t="s">
        <v>12</v>
      </c>
      <c r="O164" s="920"/>
      <c r="P164" s="920"/>
      <c r="Q164" s="920" t="s">
        <v>13</v>
      </c>
      <c r="R164" s="920"/>
      <c r="S164" s="920"/>
      <c r="T164" s="920" t="s">
        <v>14</v>
      </c>
      <c r="U164" s="920"/>
      <c r="V164" s="920"/>
      <c r="W164" s="920" t="s">
        <v>15</v>
      </c>
      <c r="X164" s="920"/>
      <c r="Y164" s="920"/>
      <c r="Z164" s="920" t="s">
        <v>16</v>
      </c>
      <c r="AA164" s="920"/>
      <c r="AB164" s="920"/>
      <c r="AC164" s="920" t="s">
        <v>17</v>
      </c>
      <c r="AD164" s="920"/>
      <c r="AE164" s="920"/>
    </row>
    <row r="165" spans="2:31" ht="26.85" customHeight="1" x14ac:dyDescent="0.25">
      <c r="B165" s="286" t="s">
        <v>158</v>
      </c>
      <c r="C165" s="286"/>
      <c r="D165" s="180" t="s">
        <v>31</v>
      </c>
      <c r="E165" s="180"/>
      <c r="F165" s="948">
        <v>6.6600000000000006E-2</v>
      </c>
      <c r="G165" s="948"/>
      <c r="H165" s="948"/>
      <c r="I165" s="948"/>
      <c r="J165" s="924">
        <v>8.4500000000000006E-2</v>
      </c>
      <c r="K165" s="924"/>
      <c r="L165" s="924"/>
      <c r="M165" s="924"/>
      <c r="N165" s="918" t="s">
        <v>23</v>
      </c>
      <c r="O165" s="918"/>
      <c r="P165" s="918"/>
      <c r="Q165" s="918" t="s">
        <v>23</v>
      </c>
      <c r="R165" s="918"/>
      <c r="S165" s="918"/>
      <c r="T165" s="918" t="s">
        <v>23</v>
      </c>
      <c r="U165" s="918"/>
      <c r="V165" s="918"/>
      <c r="W165" s="918" t="s">
        <v>23</v>
      </c>
      <c r="X165" s="918"/>
      <c r="Y165" s="918"/>
      <c r="Z165" s="918" t="s">
        <v>23</v>
      </c>
      <c r="AA165" s="918"/>
      <c r="AB165" s="918"/>
      <c r="AC165" s="918" t="s">
        <v>23</v>
      </c>
      <c r="AD165" s="918"/>
      <c r="AE165" s="918"/>
    </row>
    <row r="166" spans="2:31" ht="26.85" customHeight="1" x14ac:dyDescent="0.25">
      <c r="B166" s="180" t="s">
        <v>159</v>
      </c>
      <c r="C166" s="180"/>
      <c r="D166" s="180" t="s">
        <v>31</v>
      </c>
      <c r="E166" s="180"/>
      <c r="F166" s="948">
        <v>7.8600000000000003E-2</v>
      </c>
      <c r="G166" s="948"/>
      <c r="H166" s="948"/>
      <c r="I166" s="948"/>
      <c r="J166" s="924">
        <v>7.8799999999999995E-2</v>
      </c>
      <c r="K166" s="924"/>
      <c r="L166" s="924"/>
      <c r="M166" s="924"/>
      <c r="N166" s="918" t="s">
        <v>23</v>
      </c>
      <c r="O166" s="918"/>
      <c r="P166" s="918"/>
      <c r="Q166" s="918" t="s">
        <v>23</v>
      </c>
      <c r="R166" s="918"/>
      <c r="S166" s="918"/>
      <c r="T166" s="918" t="s">
        <v>23</v>
      </c>
      <c r="U166" s="918"/>
      <c r="V166" s="918"/>
      <c r="W166" s="918" t="s">
        <v>23</v>
      </c>
      <c r="X166" s="918"/>
      <c r="Y166" s="918"/>
      <c r="Z166" s="918" t="s">
        <v>23</v>
      </c>
      <c r="AA166" s="918"/>
      <c r="AB166" s="918"/>
      <c r="AC166" s="918" t="s">
        <v>23</v>
      </c>
      <c r="AD166" s="918"/>
      <c r="AE166" s="918"/>
    </row>
    <row r="167" spans="2:31" ht="26.85" customHeight="1" x14ac:dyDescent="0.25">
      <c r="B167" s="180" t="s">
        <v>160</v>
      </c>
      <c r="C167" s="180"/>
      <c r="D167" s="180" t="s">
        <v>31</v>
      </c>
      <c r="E167" s="180"/>
      <c r="F167" s="949">
        <v>0.13100000000000001</v>
      </c>
      <c r="G167" s="949"/>
      <c r="H167" s="949"/>
      <c r="I167" s="949"/>
      <c r="J167" s="937">
        <v>9.9599999999999994E-2</v>
      </c>
      <c r="K167" s="937"/>
      <c r="L167" s="937"/>
      <c r="M167" s="937"/>
      <c r="N167" s="918" t="s">
        <v>23</v>
      </c>
      <c r="O167" s="918"/>
      <c r="P167" s="918"/>
      <c r="Q167" s="918" t="s">
        <v>23</v>
      </c>
      <c r="R167" s="918"/>
      <c r="S167" s="918"/>
      <c r="T167" s="918" t="s">
        <v>23</v>
      </c>
      <c r="U167" s="918"/>
      <c r="V167" s="918"/>
      <c r="W167" s="918" t="s">
        <v>23</v>
      </c>
      <c r="X167" s="918"/>
      <c r="Y167" s="918"/>
      <c r="Z167" s="918" t="s">
        <v>23</v>
      </c>
      <c r="AA167" s="918"/>
      <c r="AB167" s="918"/>
      <c r="AC167" s="918" t="s">
        <v>23</v>
      </c>
      <c r="AD167" s="918"/>
      <c r="AE167" s="918"/>
    </row>
    <row r="168" spans="2:31" ht="26.85" customHeight="1" x14ac:dyDescent="0.25">
      <c r="B168" s="180" t="s">
        <v>161</v>
      </c>
      <c r="C168" s="180"/>
      <c r="D168" s="180" t="s">
        <v>31</v>
      </c>
      <c r="E168" s="180"/>
      <c r="F168" s="948">
        <v>6.6600000000000006E-2</v>
      </c>
      <c r="G168" s="948"/>
      <c r="H168" s="948"/>
      <c r="I168" s="948"/>
      <c r="J168" s="924">
        <v>4.7899999999999998E-2</v>
      </c>
      <c r="K168" s="924"/>
      <c r="L168" s="924"/>
      <c r="M168" s="924"/>
      <c r="N168" s="918" t="s">
        <v>23</v>
      </c>
      <c r="O168" s="918"/>
      <c r="P168" s="918"/>
      <c r="Q168" s="918" t="s">
        <v>23</v>
      </c>
      <c r="R168" s="918"/>
      <c r="S168" s="918"/>
      <c r="T168" s="918" t="s">
        <v>23</v>
      </c>
      <c r="U168" s="918"/>
      <c r="V168" s="918"/>
      <c r="W168" s="918" t="s">
        <v>23</v>
      </c>
      <c r="X168" s="918"/>
      <c r="Y168" s="918"/>
      <c r="Z168" s="918" t="s">
        <v>23</v>
      </c>
      <c r="AA168" s="918"/>
      <c r="AB168" s="918"/>
      <c r="AC168" s="918" t="s">
        <v>23</v>
      </c>
      <c r="AD168" s="918"/>
      <c r="AE168" s="918"/>
    </row>
    <row r="169" spans="2:31" ht="26.85" customHeight="1" x14ac:dyDescent="0.25">
      <c r="B169" s="180" t="s">
        <v>162</v>
      </c>
      <c r="C169" s="180"/>
      <c r="D169" s="180" t="s">
        <v>31</v>
      </c>
      <c r="E169" s="180"/>
      <c r="F169" s="948">
        <v>0.34949999999999998</v>
      </c>
      <c r="G169" s="948"/>
      <c r="H169" s="948"/>
      <c r="I169" s="948"/>
      <c r="J169" s="924">
        <v>0.42049999999999998</v>
      </c>
      <c r="K169" s="924"/>
      <c r="L169" s="924"/>
      <c r="M169" s="924"/>
      <c r="N169" s="918" t="s">
        <v>23</v>
      </c>
      <c r="O169" s="918"/>
      <c r="P169" s="918"/>
      <c r="Q169" s="918" t="s">
        <v>23</v>
      </c>
      <c r="R169" s="918"/>
      <c r="S169" s="918"/>
      <c r="T169" s="918" t="s">
        <v>23</v>
      </c>
      <c r="U169" s="918"/>
      <c r="V169" s="918"/>
      <c r="W169" s="918" t="s">
        <v>23</v>
      </c>
      <c r="X169" s="918"/>
      <c r="Y169" s="918"/>
      <c r="Z169" s="918" t="s">
        <v>23</v>
      </c>
      <c r="AA169" s="918"/>
      <c r="AB169" s="918"/>
      <c r="AC169" s="918" t="s">
        <v>23</v>
      </c>
      <c r="AD169" s="918"/>
      <c r="AE169" s="918"/>
    </row>
    <row r="170" spans="2:31" ht="26.85" customHeight="1" x14ac:dyDescent="0.25">
      <c r="B170" s="180" t="s">
        <v>163</v>
      </c>
      <c r="C170" s="180"/>
      <c r="D170" s="180" t="s">
        <v>31</v>
      </c>
      <c r="E170" s="180"/>
      <c r="F170" s="948">
        <v>0.30769999999999997</v>
      </c>
      <c r="G170" s="948"/>
      <c r="H170" s="948"/>
      <c r="I170" s="948"/>
      <c r="J170" s="924">
        <v>0.26869999999999999</v>
      </c>
      <c r="K170" s="924"/>
      <c r="L170" s="924"/>
      <c r="M170" s="924"/>
      <c r="N170" s="918" t="s">
        <v>23</v>
      </c>
      <c r="O170" s="918"/>
      <c r="P170" s="918"/>
      <c r="Q170" s="918" t="s">
        <v>23</v>
      </c>
      <c r="R170" s="918"/>
      <c r="S170" s="918"/>
      <c r="T170" s="918" t="s">
        <v>23</v>
      </c>
      <c r="U170" s="918"/>
      <c r="V170" s="918"/>
      <c r="W170" s="918" t="s">
        <v>23</v>
      </c>
      <c r="X170" s="918"/>
      <c r="Y170" s="918"/>
      <c r="Z170" s="918" t="s">
        <v>23</v>
      </c>
      <c r="AA170" s="918"/>
      <c r="AB170" s="918"/>
      <c r="AC170" s="918" t="s">
        <v>23</v>
      </c>
      <c r="AD170" s="918"/>
      <c r="AE170" s="918"/>
    </row>
    <row r="171" spans="2:31" ht="50.1" customHeight="1" x14ac:dyDescent="0.2">
      <c r="B171" s="302"/>
      <c r="C171" s="302"/>
      <c r="F171" s="601"/>
      <c r="G171" s="43"/>
      <c r="H171" s="43"/>
      <c r="I171" s="43"/>
      <c r="J171" s="601"/>
      <c r="K171" s="43"/>
      <c r="L171" s="43"/>
      <c r="M171" s="43"/>
      <c r="N171" s="301"/>
      <c r="O171" s="301"/>
      <c r="P171" s="301"/>
      <c r="Q171" s="301"/>
      <c r="R171" s="301"/>
      <c r="S171" s="301"/>
      <c r="T171" s="301"/>
      <c r="U171" s="301"/>
      <c r="V171" s="301"/>
      <c r="W171" s="301"/>
      <c r="X171" s="301"/>
      <c r="Y171" s="301"/>
      <c r="Z171" s="301"/>
      <c r="AA171" s="301"/>
      <c r="AB171" s="301"/>
      <c r="AC171" s="301"/>
      <c r="AD171" s="301"/>
      <c r="AE171" s="301"/>
    </row>
    <row r="172" spans="2:31" ht="26.85" customHeight="1" x14ac:dyDescent="0.2">
      <c r="B172" s="6" t="s">
        <v>101</v>
      </c>
      <c r="C172" s="6"/>
      <c r="D172" s="7" t="s">
        <v>9</v>
      </c>
      <c r="E172" s="7"/>
      <c r="F172" s="930" t="s">
        <v>10</v>
      </c>
      <c r="G172" s="930"/>
      <c r="H172" s="930"/>
      <c r="I172" s="930"/>
      <c r="J172" s="930" t="s">
        <v>11</v>
      </c>
      <c r="K172" s="930"/>
      <c r="L172" s="930"/>
      <c r="M172" s="930"/>
      <c r="N172" s="920" t="s">
        <v>12</v>
      </c>
      <c r="O172" s="920"/>
      <c r="P172" s="920"/>
      <c r="Q172" s="920" t="s">
        <v>13</v>
      </c>
      <c r="R172" s="920"/>
      <c r="S172" s="920"/>
      <c r="T172" s="920" t="s">
        <v>14</v>
      </c>
      <c r="U172" s="920"/>
      <c r="V172" s="920"/>
      <c r="W172" s="920" t="s">
        <v>15</v>
      </c>
      <c r="X172" s="920"/>
      <c r="Y172" s="920"/>
      <c r="Z172" s="920" t="s">
        <v>16</v>
      </c>
      <c r="AA172" s="920"/>
      <c r="AB172" s="920"/>
      <c r="AC172" s="920" t="s">
        <v>17</v>
      </c>
      <c r="AD172" s="920"/>
      <c r="AE172" s="920"/>
    </row>
    <row r="173" spans="2:31" ht="26.85" customHeight="1" x14ac:dyDescent="0.25">
      <c r="B173" s="286" t="s">
        <v>147</v>
      </c>
      <c r="C173" s="286"/>
      <c r="D173" s="180" t="s">
        <v>25</v>
      </c>
      <c r="E173" s="180"/>
      <c r="F173" s="950">
        <v>26</v>
      </c>
      <c r="G173" s="950"/>
      <c r="H173" s="950"/>
      <c r="I173" s="950"/>
      <c r="J173" s="939">
        <v>24</v>
      </c>
      <c r="K173" s="939"/>
      <c r="L173" s="939"/>
      <c r="M173" s="939"/>
      <c r="N173" s="918" t="s">
        <v>23</v>
      </c>
      <c r="O173" s="918"/>
      <c r="P173" s="918"/>
      <c r="Q173" s="918" t="s">
        <v>23</v>
      </c>
      <c r="R173" s="918"/>
      <c r="S173" s="918"/>
      <c r="T173" s="918" t="s">
        <v>23</v>
      </c>
      <c r="U173" s="918"/>
      <c r="V173" s="918"/>
      <c r="W173" s="918" t="s">
        <v>23</v>
      </c>
      <c r="X173" s="918"/>
      <c r="Y173" s="918"/>
      <c r="Z173" s="918" t="s">
        <v>23</v>
      </c>
      <c r="AA173" s="918"/>
      <c r="AB173" s="918"/>
      <c r="AC173" s="918" t="s">
        <v>23</v>
      </c>
      <c r="AD173" s="918"/>
      <c r="AE173" s="918"/>
    </row>
    <row r="174" spans="2:31" ht="26.85" customHeight="1" x14ac:dyDescent="0.25">
      <c r="B174" s="239" t="s">
        <v>164</v>
      </c>
      <c r="C174" s="228"/>
      <c r="D174" s="180" t="s">
        <v>31</v>
      </c>
      <c r="E174" s="180"/>
      <c r="F174" s="951">
        <f>105/3154.83</f>
        <v>3.3282300472608668E-2</v>
      </c>
      <c r="G174" s="951"/>
      <c r="H174" s="951"/>
      <c r="I174" s="951"/>
      <c r="J174" s="938">
        <f>107/3055.3333</f>
        <v>3.5020729162347039E-2</v>
      </c>
      <c r="K174" s="938"/>
      <c r="L174" s="938"/>
      <c r="M174" s="938"/>
      <c r="N174" s="918" t="s">
        <v>23</v>
      </c>
      <c r="O174" s="918"/>
      <c r="P174" s="918"/>
      <c r="Q174" s="918" t="s">
        <v>23</v>
      </c>
      <c r="R174" s="918"/>
      <c r="S174" s="918"/>
      <c r="T174" s="918" t="s">
        <v>23</v>
      </c>
      <c r="U174" s="918"/>
      <c r="V174" s="918"/>
      <c r="W174" s="918" t="s">
        <v>23</v>
      </c>
      <c r="X174" s="918"/>
      <c r="Y174" s="918"/>
      <c r="Z174" s="918" t="s">
        <v>23</v>
      </c>
      <c r="AA174" s="918"/>
      <c r="AB174" s="918"/>
      <c r="AC174" s="918" t="s">
        <v>23</v>
      </c>
      <c r="AD174" s="918"/>
      <c r="AE174" s="918"/>
    </row>
    <row r="175" spans="2:31" ht="50.1" customHeight="1" x14ac:dyDescent="0.2">
      <c r="B175" s="300"/>
      <c r="C175" s="300"/>
      <c r="F175" s="43"/>
      <c r="G175" s="43"/>
      <c r="H175" s="43"/>
      <c r="I175" s="43"/>
      <c r="J175" s="43"/>
      <c r="K175" s="43"/>
      <c r="L175" s="43"/>
      <c r="M175" s="43"/>
      <c r="N175" s="301"/>
      <c r="O175" s="301"/>
      <c r="P175" s="301"/>
      <c r="Q175" s="301"/>
      <c r="R175" s="301"/>
      <c r="S175" s="301"/>
      <c r="T175" s="301"/>
      <c r="U175" s="301"/>
      <c r="V175" s="301"/>
      <c r="W175" s="301"/>
      <c r="X175" s="301"/>
      <c r="Y175" s="301"/>
      <c r="Z175" s="301"/>
      <c r="AA175" s="301"/>
      <c r="AB175" s="301"/>
      <c r="AC175" s="301"/>
      <c r="AD175" s="301"/>
      <c r="AE175" s="301"/>
    </row>
    <row r="176" spans="2:31" ht="26.85" customHeight="1" x14ac:dyDescent="0.2">
      <c r="B176" s="6" t="s">
        <v>165</v>
      </c>
      <c r="C176" s="6"/>
      <c r="D176" s="7" t="s">
        <v>9</v>
      </c>
      <c r="E176" s="7"/>
      <c r="F176" s="930" t="s">
        <v>10</v>
      </c>
      <c r="G176" s="930"/>
      <c r="H176" s="930"/>
      <c r="I176" s="930"/>
      <c r="J176" s="930" t="s">
        <v>11</v>
      </c>
      <c r="K176" s="930"/>
      <c r="L176" s="930"/>
      <c r="M176" s="930"/>
      <c r="N176" s="920" t="s">
        <v>12</v>
      </c>
      <c r="O176" s="920"/>
      <c r="P176" s="920"/>
      <c r="Q176" s="920" t="s">
        <v>13</v>
      </c>
      <c r="R176" s="920"/>
      <c r="S176" s="920"/>
      <c r="T176" s="920" t="s">
        <v>14</v>
      </c>
      <c r="U176" s="920"/>
      <c r="V176" s="920"/>
      <c r="W176" s="920" t="s">
        <v>15</v>
      </c>
      <c r="X176" s="920"/>
      <c r="Y176" s="920"/>
      <c r="Z176" s="920" t="s">
        <v>16</v>
      </c>
      <c r="AA176" s="920"/>
      <c r="AB176" s="920"/>
      <c r="AC176" s="920" t="s">
        <v>17</v>
      </c>
      <c r="AD176" s="920"/>
      <c r="AE176" s="920"/>
    </row>
    <row r="177" spans="2:215" ht="30.75" customHeight="1" x14ac:dyDescent="0.25">
      <c r="B177" s="255" t="s">
        <v>166</v>
      </c>
      <c r="C177" s="255"/>
      <c r="D177" s="286" t="s">
        <v>25</v>
      </c>
      <c r="E177" s="286"/>
      <c r="F177" s="950">
        <f>SUM('Ausgrid Workforce'!F170:I170,'PLUS ES Workforce'!F174:I174)</f>
        <v>80</v>
      </c>
      <c r="G177" s="950" t="s">
        <v>23</v>
      </c>
      <c r="H177" s="950"/>
      <c r="I177" s="950"/>
      <c r="J177" s="939">
        <f>SUM('Ausgrid Workforce'!J170:M170,'PLUS ES Workforce'!J174:M174)</f>
        <v>64</v>
      </c>
      <c r="K177" s="939" t="s">
        <v>23</v>
      </c>
      <c r="L177" s="939"/>
      <c r="M177" s="939"/>
      <c r="N177" s="918">
        <f>SUM('Ausgrid Workforce'!N170:P170,'PLUS ES Workforce'!N174:P174)</f>
        <v>51</v>
      </c>
      <c r="O177" s="918"/>
      <c r="P177" s="918"/>
      <c r="Q177" s="918">
        <f>SUM('Ausgrid Workforce'!Q170:S170,'PLUS ES Workforce'!Q174:S174)</f>
        <v>42</v>
      </c>
      <c r="R177" s="918"/>
      <c r="S177" s="918"/>
      <c r="T177" s="918">
        <f>SUM('Ausgrid Workforce'!T170:V170,'PLUS ES Workforce'!T174:V174)</f>
        <v>45</v>
      </c>
      <c r="U177" s="918"/>
      <c r="V177" s="918"/>
      <c r="W177" s="918">
        <f>SUM('Ausgrid Workforce'!W170:Y170,'PLUS ES Workforce'!W174:Y174)</f>
        <v>50</v>
      </c>
      <c r="X177" s="918"/>
      <c r="Y177" s="918"/>
      <c r="Z177" s="918">
        <f>SUM('Ausgrid Workforce'!Z170:AB170,'PLUS ES Workforce'!Z174:AB174)</f>
        <v>61</v>
      </c>
      <c r="AA177" s="918"/>
      <c r="AB177" s="918"/>
      <c r="AC177" s="918">
        <f>SUM('Ausgrid Workforce'!AC170:AE170,'PLUS ES Workforce'!AC174:AE174)</f>
        <v>24</v>
      </c>
      <c r="AD177" s="918"/>
      <c r="AE177" s="918"/>
    </row>
    <row r="178" spans="2:215" ht="50.1" customHeight="1" x14ac:dyDescent="0.2">
      <c r="B178" s="303"/>
      <c r="C178" s="303"/>
      <c r="D178" s="300"/>
      <c r="E178" s="300"/>
      <c r="F178" s="43"/>
      <c r="G178" s="43"/>
      <c r="H178" s="43"/>
      <c r="I178" s="43"/>
      <c r="J178" s="43"/>
      <c r="K178" s="43"/>
      <c r="L178" s="43"/>
      <c r="M178" s="43"/>
      <c r="N178" s="12"/>
      <c r="O178" s="12"/>
      <c r="P178" s="12"/>
      <c r="Q178" s="12"/>
      <c r="R178" s="12"/>
      <c r="S178" s="12"/>
      <c r="T178" s="12"/>
      <c r="U178" s="12"/>
      <c r="V178" s="12"/>
      <c r="W178" s="12"/>
      <c r="X178" s="12"/>
      <c r="Y178" s="12"/>
      <c r="Z178" s="12"/>
      <c r="AA178" s="12"/>
      <c r="AB178" s="12"/>
      <c r="AC178" s="12"/>
      <c r="AD178" s="12"/>
      <c r="AE178" s="12"/>
    </row>
    <row r="179" spans="2:215" ht="26.85" customHeight="1" x14ac:dyDescent="0.2">
      <c r="B179" s="6" t="s">
        <v>167</v>
      </c>
      <c r="C179" s="6"/>
      <c r="D179" s="7" t="s">
        <v>9</v>
      </c>
      <c r="E179" s="7"/>
      <c r="F179" s="930" t="s">
        <v>10</v>
      </c>
      <c r="G179" s="930"/>
      <c r="H179" s="930"/>
      <c r="I179" s="930"/>
      <c r="J179" s="930" t="s">
        <v>11</v>
      </c>
      <c r="K179" s="930"/>
      <c r="L179" s="930"/>
      <c r="M179" s="930"/>
      <c r="N179" s="920" t="s">
        <v>12</v>
      </c>
      <c r="O179" s="920"/>
      <c r="P179" s="920"/>
      <c r="Q179" s="920" t="s">
        <v>13</v>
      </c>
      <c r="R179" s="920"/>
      <c r="S179" s="920"/>
      <c r="T179" s="920" t="s">
        <v>14</v>
      </c>
      <c r="U179" s="920"/>
      <c r="V179" s="920"/>
      <c r="W179" s="920" t="s">
        <v>15</v>
      </c>
      <c r="X179" s="920"/>
      <c r="Y179" s="920"/>
      <c r="Z179" s="920" t="s">
        <v>16</v>
      </c>
      <c r="AA179" s="920"/>
      <c r="AB179" s="920"/>
      <c r="AC179" s="920" t="s">
        <v>17</v>
      </c>
      <c r="AD179" s="920"/>
      <c r="AE179" s="920"/>
    </row>
    <row r="180" spans="2:215" ht="34.35" customHeight="1" x14ac:dyDescent="0.25">
      <c r="B180" s="255" t="s">
        <v>168</v>
      </c>
      <c r="C180" s="255"/>
      <c r="D180" s="286" t="s">
        <v>25</v>
      </c>
      <c r="E180" s="286"/>
      <c r="F180" s="950">
        <f>'Ausgrid Workforce'!F173</f>
        <v>31</v>
      </c>
      <c r="G180" s="950"/>
      <c r="H180" s="950"/>
      <c r="I180" s="950"/>
      <c r="J180" s="939">
        <f>'Ausgrid Workforce'!J173</f>
        <v>28</v>
      </c>
      <c r="K180" s="939"/>
      <c r="L180" s="939"/>
      <c r="M180" s="939"/>
      <c r="N180" s="918">
        <f>SUM('Ausgrid Workforce'!N173:P173,'PLUS ES Workforce'!N177:P177)</f>
        <v>25</v>
      </c>
      <c r="O180" s="918"/>
      <c r="P180" s="918"/>
      <c r="Q180" s="918">
        <f>SUM('Ausgrid Workforce'!Q173:S173,'PLUS ES Workforce'!Q177:S177)</f>
        <v>25</v>
      </c>
      <c r="R180" s="918"/>
      <c r="S180" s="918"/>
      <c r="T180" s="918">
        <f>SUM('Ausgrid Workforce'!T173:V173,'PLUS ES Workforce'!T177:V177)</f>
        <v>27</v>
      </c>
      <c r="U180" s="918"/>
      <c r="V180" s="918"/>
      <c r="W180" s="918">
        <f>SUM('Ausgrid Workforce'!W173:Y173,'PLUS ES Workforce'!W177:Y177)</f>
        <v>35</v>
      </c>
      <c r="X180" s="918"/>
      <c r="Y180" s="918"/>
      <c r="Z180" s="918">
        <f>SUM('Ausgrid Workforce'!Z173:AB173,'PLUS ES Workforce'!Z177:AB177)</f>
        <v>41</v>
      </c>
      <c r="AA180" s="918"/>
      <c r="AB180" s="918"/>
      <c r="AC180" s="918">
        <f>SUM('Ausgrid Workforce'!AC173:AE173,'PLUS ES Workforce'!AC177:AE177)</f>
        <v>47</v>
      </c>
      <c r="AD180" s="918"/>
      <c r="AE180" s="918"/>
    </row>
    <row r="181" spans="2:215" ht="50.1" customHeight="1" x14ac:dyDescent="0.2">
      <c r="F181" s="43"/>
      <c r="G181" s="43"/>
      <c r="H181" s="43"/>
      <c r="I181" s="43"/>
      <c r="J181" s="43"/>
      <c r="K181" s="43"/>
      <c r="L181" s="43"/>
      <c r="M181" s="43"/>
      <c r="N181" s="12"/>
      <c r="O181" s="12"/>
      <c r="P181" s="12"/>
      <c r="Q181" s="12"/>
      <c r="R181" s="12"/>
      <c r="S181" s="12"/>
      <c r="T181" s="12"/>
      <c r="U181" s="12"/>
      <c r="V181" s="12"/>
      <c r="W181" s="12"/>
      <c r="X181" s="12"/>
      <c r="Y181" s="12"/>
      <c r="Z181" s="12"/>
      <c r="AA181" s="12"/>
      <c r="AB181" s="12"/>
      <c r="AC181" s="12"/>
      <c r="AD181" s="12"/>
      <c r="AE181" s="12"/>
    </row>
    <row r="182" spans="2:215" ht="26.85" customHeight="1" x14ac:dyDescent="0.25">
      <c r="B182" s="6" t="s">
        <v>169</v>
      </c>
      <c r="C182" s="6"/>
      <c r="D182" s="7" t="s">
        <v>9</v>
      </c>
      <c r="E182" s="261"/>
      <c r="F182" s="930" t="s">
        <v>10</v>
      </c>
      <c r="G182" s="930"/>
      <c r="H182" s="930"/>
      <c r="I182" s="930"/>
      <c r="J182" s="930" t="s">
        <v>11</v>
      </c>
      <c r="K182" s="930"/>
      <c r="L182" s="930"/>
      <c r="M182" s="930"/>
      <c r="N182" s="920" t="s">
        <v>12</v>
      </c>
      <c r="O182" s="920"/>
      <c r="P182" s="920"/>
      <c r="Q182" s="920" t="s">
        <v>13</v>
      </c>
      <c r="R182" s="920"/>
      <c r="S182" s="920"/>
      <c r="T182" s="920" t="s">
        <v>14</v>
      </c>
      <c r="U182" s="920"/>
      <c r="V182" s="920"/>
      <c r="W182" s="920" t="s">
        <v>15</v>
      </c>
      <c r="X182" s="920"/>
      <c r="Y182" s="920"/>
      <c r="Z182" s="920" t="s">
        <v>16</v>
      </c>
      <c r="AA182" s="920"/>
      <c r="AB182" s="920"/>
      <c r="AC182" s="920" t="s">
        <v>17</v>
      </c>
      <c r="AD182" s="920"/>
      <c r="AE182" s="920"/>
    </row>
    <row r="183" spans="2:215" ht="26.85" customHeight="1" x14ac:dyDescent="0.25">
      <c r="B183" s="193" t="s">
        <v>170</v>
      </c>
      <c r="C183" s="193"/>
      <c r="D183" s="180" t="s">
        <v>25</v>
      </c>
      <c r="E183" s="180"/>
      <c r="F183" s="952">
        <f>SUM('Ausgrid Workforce'!F176:I176,'PLUS ES Workforce'!F180:I180)</f>
        <v>109</v>
      </c>
      <c r="G183" s="952"/>
      <c r="H183" s="952"/>
      <c r="I183" s="952"/>
      <c r="J183" s="940">
        <f>SUM('Ausgrid Workforce'!J176:M176,'PLUS ES Workforce'!J180:M180)</f>
        <v>70</v>
      </c>
      <c r="K183" s="940"/>
      <c r="L183" s="940"/>
      <c r="M183" s="940"/>
      <c r="N183" s="922">
        <f>SUM('Ausgrid Workforce'!N176:P176,'PLUS ES Workforce'!N180:P180)</f>
        <v>73</v>
      </c>
      <c r="O183" s="922"/>
      <c r="P183" s="922"/>
      <c r="Q183" s="922">
        <f>SUM('Ausgrid Workforce'!Q176:S176,'PLUS ES Workforce'!Q180:S180)</f>
        <v>0</v>
      </c>
      <c r="R183" s="922"/>
      <c r="S183" s="922"/>
      <c r="T183" s="922">
        <f>SUM('Ausgrid Workforce'!T176:V176,'PLUS ES Workforce'!T180:V180)</f>
        <v>0</v>
      </c>
      <c r="U183" s="922"/>
      <c r="V183" s="922"/>
      <c r="W183" s="922">
        <f>SUM('Ausgrid Workforce'!W176:Y176,'PLUS ES Workforce'!W180:Y180)</f>
        <v>0</v>
      </c>
      <c r="X183" s="922"/>
      <c r="Y183" s="922"/>
      <c r="Z183" s="922">
        <f>SUM('Ausgrid Workforce'!Z176:AB176,'PLUS ES Workforce'!Z180:AB180)</f>
        <v>0</v>
      </c>
      <c r="AA183" s="922"/>
      <c r="AB183" s="922"/>
      <c r="AC183" s="922">
        <f>SUM('Ausgrid Workforce'!AC176:AE176,'PLUS ES Workforce'!AC180:AE180)</f>
        <v>0</v>
      </c>
      <c r="AD183" s="922"/>
      <c r="AE183" s="922"/>
    </row>
    <row r="184" spans="2:215" ht="26.85" customHeight="1" x14ac:dyDescent="0.25">
      <c r="B184" s="193" t="s">
        <v>171</v>
      </c>
      <c r="C184" s="193"/>
      <c r="D184" s="180" t="s">
        <v>25</v>
      </c>
      <c r="E184" s="180"/>
      <c r="F184" s="946">
        <f>'Ausgrid Workforce'!F177+'PLUS ES Workforce'!F181-187</f>
        <v>1559</v>
      </c>
      <c r="G184" s="953"/>
      <c r="H184" s="953"/>
      <c r="I184" s="953"/>
      <c r="J184" s="941">
        <v>1657</v>
      </c>
      <c r="K184" s="942"/>
      <c r="L184" s="942"/>
      <c r="M184" s="942"/>
      <c r="N184" s="943">
        <f>SUM('Ausgrid Workforce'!N177:P177,'PLUS ES Workforce'!N181:P181)</f>
        <v>1983</v>
      </c>
      <c r="O184" s="919"/>
      <c r="P184" s="919"/>
      <c r="Q184" s="922">
        <f>SUM('Ausgrid Workforce'!Q177:S177,'PLUS ES Workforce'!Q181:S181)</f>
        <v>0</v>
      </c>
      <c r="R184" s="922"/>
      <c r="S184" s="922"/>
      <c r="T184" s="922">
        <f>SUM('Ausgrid Workforce'!T177:V177,'PLUS ES Workforce'!T181:V181)</f>
        <v>0</v>
      </c>
      <c r="U184" s="922"/>
      <c r="V184" s="922"/>
      <c r="W184" s="922">
        <f>SUM('Ausgrid Workforce'!W177:Y177,'PLUS ES Workforce'!W181:Y181)</f>
        <v>0</v>
      </c>
      <c r="X184" s="922"/>
      <c r="Y184" s="922"/>
      <c r="Z184" s="922">
        <f>SUM('Ausgrid Workforce'!Z177:AB177,'PLUS ES Workforce'!Z181:AB181)</f>
        <v>0</v>
      </c>
      <c r="AA184" s="922"/>
      <c r="AB184" s="922"/>
      <c r="AC184" s="922">
        <f>SUM('Ausgrid Workforce'!AC177:AE177,'PLUS ES Workforce'!AC181:AE181)</f>
        <v>0</v>
      </c>
      <c r="AD184" s="922"/>
      <c r="AE184" s="922"/>
    </row>
    <row r="185" spans="2:215" ht="26.85" customHeight="1" x14ac:dyDescent="0.25">
      <c r="B185" s="231" t="s">
        <v>172</v>
      </c>
      <c r="C185" s="193"/>
      <c r="D185" s="180" t="s">
        <v>25</v>
      </c>
      <c r="E185" s="180"/>
      <c r="F185" s="946">
        <f>SUM(F183:I184)</f>
        <v>1668</v>
      </c>
      <c r="G185" s="953"/>
      <c r="H185" s="953"/>
      <c r="I185" s="953"/>
      <c r="J185" s="941">
        <f>SUM(J183:M184)</f>
        <v>1727</v>
      </c>
      <c r="K185" s="942"/>
      <c r="L185" s="942"/>
      <c r="M185" s="942"/>
      <c r="N185" s="943">
        <f>SUM('Ausgrid Workforce'!N178:P178,'PLUS ES Workforce'!N182:P182)</f>
        <v>2056</v>
      </c>
      <c r="O185" s="919"/>
      <c r="P185" s="919"/>
      <c r="Q185" s="922">
        <f>SUM('Ausgrid Workforce'!Q178:S178,'PLUS ES Workforce'!Q182:S182)</f>
        <v>0</v>
      </c>
      <c r="R185" s="922"/>
      <c r="S185" s="922"/>
      <c r="T185" s="922">
        <f>SUM('Ausgrid Workforce'!T178:V178,'PLUS ES Workforce'!T182:V182)</f>
        <v>0</v>
      </c>
      <c r="U185" s="922"/>
      <c r="V185" s="922"/>
      <c r="W185" s="922">
        <f>SUM('Ausgrid Workforce'!W178:Y178,'PLUS ES Workforce'!W182:Y182)</f>
        <v>0</v>
      </c>
      <c r="X185" s="922"/>
      <c r="Y185" s="922"/>
      <c r="Z185" s="922">
        <f>SUM('Ausgrid Workforce'!Z178:AB178,'PLUS ES Workforce'!Z182:AB182)</f>
        <v>0</v>
      </c>
      <c r="AA185" s="922"/>
      <c r="AB185" s="922"/>
      <c r="AC185" s="922">
        <f>SUM('Ausgrid Workforce'!AC178:AE178,'PLUS ES Workforce'!AC182:AE182)</f>
        <v>0</v>
      </c>
      <c r="AD185" s="922"/>
      <c r="AE185" s="922"/>
    </row>
    <row r="186" spans="2:215" ht="26.85" customHeight="1" x14ac:dyDescent="0.25">
      <c r="B186" s="193" t="s">
        <v>173</v>
      </c>
      <c r="C186" s="193"/>
      <c r="D186" s="180" t="s">
        <v>25</v>
      </c>
      <c r="E186" s="180"/>
      <c r="F186" s="952">
        <f>SUM('Ausgrid Workforce'!F179:I179,'PLUS ES Workforce'!F183:I183)</f>
        <v>109</v>
      </c>
      <c r="G186" s="952"/>
      <c r="H186" s="952"/>
      <c r="I186" s="952"/>
      <c r="J186" s="940">
        <f>SUM('Ausgrid Workforce'!J179:M179,'PLUS ES Workforce'!J183:M183)</f>
        <v>70</v>
      </c>
      <c r="K186" s="940"/>
      <c r="L186" s="940"/>
      <c r="M186" s="940"/>
      <c r="N186" s="922">
        <f>SUM('Ausgrid Workforce'!N179:P179,'PLUS ES Workforce'!N183:P183)</f>
        <v>73</v>
      </c>
      <c r="O186" s="922"/>
      <c r="P186" s="922"/>
      <c r="Q186" s="922">
        <f>SUM('Ausgrid Workforce'!Q179:S179,'PLUS ES Workforce'!Q183:S183)</f>
        <v>0</v>
      </c>
      <c r="R186" s="922"/>
      <c r="S186" s="922"/>
      <c r="T186" s="922">
        <f>SUM('Ausgrid Workforce'!T179:V179,'PLUS ES Workforce'!T183:V183)</f>
        <v>0</v>
      </c>
      <c r="U186" s="922"/>
      <c r="V186" s="922"/>
      <c r="W186" s="922">
        <f>SUM('Ausgrid Workforce'!W179:Y179,'PLUS ES Workforce'!W183:Y183)</f>
        <v>0</v>
      </c>
      <c r="X186" s="922"/>
      <c r="Y186" s="922"/>
      <c r="Z186" s="922">
        <f>SUM('Ausgrid Workforce'!Z179:AB179,'PLUS ES Workforce'!Z183:AB183)</f>
        <v>0</v>
      </c>
      <c r="AA186" s="922"/>
      <c r="AB186" s="922"/>
      <c r="AC186" s="922">
        <f>SUM('Ausgrid Workforce'!AC179:AE179,'PLUS ES Workforce'!AC183:AE183)</f>
        <v>0</v>
      </c>
      <c r="AD186" s="922"/>
      <c r="AE186" s="922"/>
    </row>
    <row r="187" spans="2:215" ht="26.85" customHeight="1" x14ac:dyDescent="0.25">
      <c r="B187" s="193" t="s">
        <v>174</v>
      </c>
      <c r="C187" s="193"/>
      <c r="D187" s="180" t="s">
        <v>25</v>
      </c>
      <c r="E187" s="180"/>
      <c r="F187" s="952">
        <f>SUM('Ausgrid Workforce'!F180:I180,'PLUS ES Workforce'!F184:I184)</f>
        <v>0</v>
      </c>
      <c r="G187" s="952"/>
      <c r="H187" s="952"/>
      <c r="I187" s="952"/>
      <c r="J187" s="940">
        <f>SUM('Ausgrid Workforce'!J180:M180,'PLUS ES Workforce'!J184:M184)</f>
        <v>0</v>
      </c>
      <c r="K187" s="940"/>
      <c r="L187" s="940"/>
      <c r="M187" s="940"/>
      <c r="N187" s="922">
        <f>SUM('Ausgrid Workforce'!N180:P180,'PLUS ES Workforce'!N184:P184)</f>
        <v>0</v>
      </c>
      <c r="O187" s="922"/>
      <c r="P187" s="922"/>
      <c r="Q187" s="922">
        <f>SUM('Ausgrid Workforce'!Q180:S180,'PLUS ES Workforce'!Q184:S184)</f>
        <v>0</v>
      </c>
      <c r="R187" s="922"/>
      <c r="S187" s="922"/>
      <c r="T187" s="922">
        <f>SUM('Ausgrid Workforce'!T180:V180,'PLUS ES Workforce'!T184:V184)</f>
        <v>0</v>
      </c>
      <c r="U187" s="922"/>
      <c r="V187" s="922"/>
      <c r="W187" s="922">
        <f>SUM('Ausgrid Workforce'!W180:Y180,'PLUS ES Workforce'!W184:Y184)</f>
        <v>0</v>
      </c>
      <c r="X187" s="922"/>
      <c r="Y187" s="922"/>
      <c r="Z187" s="922">
        <f>SUM('Ausgrid Workforce'!Z180:AB180,'PLUS ES Workforce'!Z184:AB184)</f>
        <v>0</v>
      </c>
      <c r="AA187" s="922"/>
      <c r="AB187" s="922"/>
      <c r="AC187" s="922">
        <f>SUM('Ausgrid Workforce'!AC180:AE180,'PLUS ES Workforce'!AC184:AE184)</f>
        <v>0</v>
      </c>
      <c r="AD187" s="922"/>
      <c r="AE187" s="922"/>
    </row>
    <row r="188" spans="2:215" ht="26.85" customHeight="1" x14ac:dyDescent="0.25">
      <c r="B188" s="231" t="s">
        <v>175</v>
      </c>
      <c r="C188" s="193"/>
      <c r="D188" s="180" t="s">
        <v>25</v>
      </c>
      <c r="E188" s="180"/>
      <c r="F188" s="952">
        <f>SUM('Ausgrid Workforce'!F181:I181,'PLUS ES Workforce'!F185:I185)</f>
        <v>109</v>
      </c>
      <c r="G188" s="952"/>
      <c r="H188" s="952"/>
      <c r="I188" s="952"/>
      <c r="J188" s="940">
        <f>SUM('Ausgrid Workforce'!J181:M181,'PLUS ES Workforce'!J185:M185)</f>
        <v>70</v>
      </c>
      <c r="K188" s="940"/>
      <c r="L188" s="940"/>
      <c r="M188" s="940"/>
      <c r="N188" s="922">
        <f>SUM('Ausgrid Workforce'!N181:P181,'PLUS ES Workforce'!N185:P185)</f>
        <v>73</v>
      </c>
      <c r="O188" s="922"/>
      <c r="P188" s="922"/>
      <c r="Q188" s="922">
        <f>SUM('Ausgrid Workforce'!Q181:S181,'PLUS ES Workforce'!Q185:S185)</f>
        <v>0</v>
      </c>
      <c r="R188" s="922"/>
      <c r="S188" s="922"/>
      <c r="T188" s="922">
        <f>SUM('Ausgrid Workforce'!T181:V181,'PLUS ES Workforce'!T185:V185)</f>
        <v>0</v>
      </c>
      <c r="U188" s="922"/>
      <c r="V188" s="922"/>
      <c r="W188" s="922">
        <f>SUM('Ausgrid Workforce'!W181:Y181,'PLUS ES Workforce'!W185:Y185)</f>
        <v>0</v>
      </c>
      <c r="X188" s="922"/>
      <c r="Y188" s="922"/>
      <c r="Z188" s="922">
        <f>SUM('Ausgrid Workforce'!Z181:AB181,'PLUS ES Workforce'!Z185:AB185)</f>
        <v>0</v>
      </c>
      <c r="AA188" s="922"/>
      <c r="AB188" s="922"/>
      <c r="AC188" s="922">
        <f>SUM('Ausgrid Workforce'!AC181:AE181,'PLUS ES Workforce'!AC185:AE185)</f>
        <v>0</v>
      </c>
      <c r="AD188" s="922"/>
      <c r="AE188" s="922"/>
    </row>
    <row r="189" spans="2:215" ht="50.1" customHeight="1" x14ac:dyDescent="0.2">
      <c r="B189" s="47"/>
      <c r="C189" s="47"/>
      <c r="D189" s="40"/>
      <c r="E189" s="40"/>
      <c r="F189" s="43"/>
      <c r="G189" s="43"/>
      <c r="H189" s="43"/>
      <c r="I189" s="43"/>
      <c r="J189" s="43"/>
      <c r="K189" s="43"/>
      <c r="L189" s="43"/>
      <c r="M189" s="43"/>
      <c r="N189" s="12"/>
      <c r="O189" s="12"/>
      <c r="P189" s="12"/>
      <c r="Q189" s="12"/>
      <c r="R189" s="12"/>
      <c r="S189" s="12"/>
      <c r="T189" s="12"/>
      <c r="U189" s="12"/>
      <c r="V189" s="12"/>
      <c r="W189" s="12"/>
      <c r="X189" s="12"/>
      <c r="Y189" s="12"/>
      <c r="Z189" s="12"/>
      <c r="AA189" s="12"/>
      <c r="AB189" s="12"/>
      <c r="AC189" s="12"/>
      <c r="AD189" s="12"/>
      <c r="AE189" s="12"/>
    </row>
    <row r="190" spans="2:215" s="37" customFormat="1" ht="26.85" customHeight="1" x14ac:dyDescent="0.25">
      <c r="B190" s="6" t="s">
        <v>176</v>
      </c>
      <c r="C190" s="6"/>
      <c r="D190" s="7" t="s">
        <v>9</v>
      </c>
      <c r="E190" s="261"/>
      <c r="F190" s="930" t="s">
        <v>10</v>
      </c>
      <c r="G190" s="930"/>
      <c r="H190" s="930"/>
      <c r="I190" s="930"/>
      <c r="J190" s="930" t="s">
        <v>11</v>
      </c>
      <c r="K190" s="930"/>
      <c r="L190" s="930"/>
      <c r="M190" s="930"/>
      <c r="N190" s="920" t="s">
        <v>12</v>
      </c>
      <c r="O190" s="920"/>
      <c r="P190" s="920"/>
      <c r="Q190" s="920" t="s">
        <v>13</v>
      </c>
      <c r="R190" s="920"/>
      <c r="S190" s="920"/>
      <c r="T190" s="920" t="s">
        <v>14</v>
      </c>
      <c r="U190" s="920"/>
      <c r="V190" s="920"/>
      <c r="W190" s="920" t="s">
        <v>15</v>
      </c>
      <c r="X190" s="920"/>
      <c r="Y190" s="920"/>
      <c r="Z190" s="920" t="s">
        <v>16</v>
      </c>
      <c r="AA190" s="920"/>
      <c r="AB190" s="920"/>
      <c r="AC190" s="920" t="s">
        <v>17</v>
      </c>
      <c r="AD190" s="920"/>
      <c r="AE190" s="920"/>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c r="HF190" s="28"/>
      <c r="HG190" s="28"/>
    </row>
    <row r="191" spans="2:215" s="37" customFormat="1" ht="26.85" customHeight="1" x14ac:dyDescent="0.25">
      <c r="B191" s="193" t="s">
        <v>177</v>
      </c>
      <c r="C191" s="188"/>
      <c r="D191" s="180"/>
      <c r="E191" s="180"/>
      <c r="F191" s="950">
        <v>69</v>
      </c>
      <c r="G191" s="950"/>
      <c r="H191" s="950"/>
      <c r="I191" s="950"/>
      <c r="J191" s="939">
        <v>69</v>
      </c>
      <c r="K191" s="939"/>
      <c r="L191" s="939"/>
      <c r="M191" s="939"/>
      <c r="N191" s="918">
        <v>63</v>
      </c>
      <c r="O191" s="918"/>
      <c r="P191" s="918"/>
      <c r="Q191" s="918">
        <v>55</v>
      </c>
      <c r="R191" s="918"/>
      <c r="S191" s="918"/>
      <c r="T191" s="918">
        <v>50</v>
      </c>
      <c r="U191" s="918"/>
      <c r="V191" s="918"/>
      <c r="W191" s="919" t="s">
        <v>23</v>
      </c>
      <c r="X191" s="919"/>
      <c r="Y191" s="919"/>
      <c r="Z191" s="919" t="s">
        <v>23</v>
      </c>
      <c r="AA191" s="919"/>
      <c r="AB191" s="919"/>
      <c r="AC191" s="919" t="s">
        <v>23</v>
      </c>
      <c r="AD191" s="919"/>
      <c r="AE191" s="919"/>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c r="HF191" s="28"/>
      <c r="HG191" s="28"/>
    </row>
    <row r="192" spans="2:215" s="37" customFormat="1" ht="50.1" customHeight="1" x14ac:dyDescent="0.2">
      <c r="B192" s="47"/>
      <c r="C192" s="47"/>
      <c r="D192" s="15"/>
      <c r="E192" s="15"/>
      <c r="F192" s="43"/>
      <c r="G192" s="43"/>
      <c r="H192" s="43"/>
      <c r="I192" s="43"/>
      <c r="J192" s="43"/>
      <c r="K192" s="43"/>
      <c r="L192" s="43"/>
      <c r="M192" s="43"/>
      <c r="N192" s="12"/>
      <c r="O192" s="12"/>
      <c r="P192" s="12"/>
      <c r="Q192" s="12"/>
      <c r="R192" s="12"/>
      <c r="S192" s="12"/>
      <c r="T192" s="12"/>
      <c r="U192" s="12"/>
      <c r="V192" s="12"/>
      <c r="W192" s="67"/>
      <c r="X192" s="67"/>
      <c r="Y192" s="67"/>
      <c r="Z192" s="67"/>
      <c r="AA192" s="67"/>
      <c r="AB192" s="67"/>
      <c r="AC192" s="67"/>
      <c r="AD192" s="67"/>
      <c r="AE192" s="67"/>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c r="HF192" s="28"/>
      <c r="HG192" s="28"/>
    </row>
    <row r="193" spans="2:215" s="37" customFormat="1" ht="26.85" customHeight="1" x14ac:dyDescent="0.25">
      <c r="B193" s="6" t="s">
        <v>178</v>
      </c>
      <c r="C193" s="6"/>
      <c r="D193" s="7" t="s">
        <v>9</v>
      </c>
      <c r="E193" s="261"/>
      <c r="F193" s="930" t="s">
        <v>10</v>
      </c>
      <c r="G193" s="930"/>
      <c r="H193" s="930"/>
      <c r="I193" s="930"/>
      <c r="J193" s="930" t="s">
        <v>11</v>
      </c>
      <c r="K193" s="930"/>
      <c r="L193" s="930"/>
      <c r="M193" s="930"/>
      <c r="N193" s="920" t="s">
        <v>12</v>
      </c>
      <c r="O193" s="920"/>
      <c r="P193" s="920"/>
      <c r="Q193" s="920" t="s">
        <v>13</v>
      </c>
      <c r="R193" s="920"/>
      <c r="S193" s="920"/>
      <c r="T193" s="920" t="s">
        <v>14</v>
      </c>
      <c r="U193" s="920"/>
      <c r="V193" s="920"/>
      <c r="W193" s="920" t="s">
        <v>15</v>
      </c>
      <c r="X193" s="920"/>
      <c r="Y193" s="920"/>
      <c r="Z193" s="920" t="s">
        <v>16</v>
      </c>
      <c r="AA193" s="920"/>
      <c r="AB193" s="920"/>
      <c r="AC193" s="920" t="s">
        <v>17</v>
      </c>
      <c r="AD193" s="920"/>
      <c r="AE193" s="920"/>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c r="HF193" s="28"/>
      <c r="HG193" s="28"/>
    </row>
    <row r="194" spans="2:215" s="37" customFormat="1" ht="26.85" customHeight="1" x14ac:dyDescent="0.25">
      <c r="B194" s="231" t="s">
        <v>179</v>
      </c>
      <c r="C194" s="231"/>
      <c r="D194" s="193"/>
      <c r="E194" s="193"/>
      <c r="F194" s="532" t="s">
        <v>99</v>
      </c>
      <c r="G194" s="532" t="s">
        <v>100</v>
      </c>
      <c r="H194" s="532" t="s">
        <v>101</v>
      </c>
      <c r="I194" s="532" t="s">
        <v>102</v>
      </c>
      <c r="J194" s="690" t="s">
        <v>99</v>
      </c>
      <c r="K194" s="690" t="s">
        <v>100</v>
      </c>
      <c r="L194" s="690" t="s">
        <v>101</v>
      </c>
      <c r="M194" s="690" t="s">
        <v>102</v>
      </c>
      <c r="N194" s="183" t="s">
        <v>99</v>
      </c>
      <c r="O194" s="183" t="s">
        <v>100</v>
      </c>
      <c r="P194" s="183" t="s">
        <v>102</v>
      </c>
      <c r="Q194" s="183" t="s">
        <v>99</v>
      </c>
      <c r="R194" s="183" t="s">
        <v>100</v>
      </c>
      <c r="S194" s="183" t="s">
        <v>102</v>
      </c>
      <c r="T194" s="183" t="s">
        <v>99</v>
      </c>
      <c r="U194" s="183" t="s">
        <v>100</v>
      </c>
      <c r="V194" s="183" t="s">
        <v>102</v>
      </c>
      <c r="W194" s="183" t="s">
        <v>99</v>
      </c>
      <c r="X194" s="183" t="s">
        <v>100</v>
      </c>
      <c r="Y194" s="183" t="s">
        <v>102</v>
      </c>
      <c r="Z194" s="183" t="s">
        <v>99</v>
      </c>
      <c r="AA194" s="183" t="s">
        <v>100</v>
      </c>
      <c r="AB194" s="183" t="s">
        <v>102</v>
      </c>
      <c r="AC194" s="183" t="s">
        <v>99</v>
      </c>
      <c r="AD194" s="183" t="s">
        <v>100</v>
      </c>
      <c r="AE194" s="183" t="s">
        <v>102</v>
      </c>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c r="HF194" s="28"/>
      <c r="HG194" s="28"/>
    </row>
    <row r="195" spans="2:215" s="37" customFormat="1" ht="26.85" customHeight="1" x14ac:dyDescent="0.25">
      <c r="B195" s="345" t="s">
        <v>180</v>
      </c>
      <c r="C195" s="345"/>
      <c r="D195" s="193" t="s">
        <v>181</v>
      </c>
      <c r="E195" s="193"/>
      <c r="F195" s="769">
        <v>12</v>
      </c>
      <c r="G195" s="769">
        <v>27</v>
      </c>
      <c r="H195" s="769">
        <v>41</v>
      </c>
      <c r="I195" s="769">
        <v>22</v>
      </c>
      <c r="J195" s="689">
        <v>9</v>
      </c>
      <c r="K195" s="689">
        <v>16</v>
      </c>
      <c r="L195" s="689">
        <v>8</v>
      </c>
      <c r="M195" s="689">
        <v>13</v>
      </c>
      <c r="N195" s="372" t="s">
        <v>23</v>
      </c>
      <c r="O195" s="372" t="s">
        <v>23</v>
      </c>
      <c r="P195" s="372" t="s">
        <v>23</v>
      </c>
      <c r="Q195" s="372" t="s">
        <v>23</v>
      </c>
      <c r="R195" s="372" t="s">
        <v>23</v>
      </c>
      <c r="S195" s="372" t="s">
        <v>23</v>
      </c>
      <c r="T195" s="372" t="s">
        <v>23</v>
      </c>
      <c r="U195" s="372" t="s">
        <v>23</v>
      </c>
      <c r="V195" s="372" t="s">
        <v>23</v>
      </c>
      <c r="W195" s="372" t="s">
        <v>23</v>
      </c>
      <c r="X195" s="372" t="s">
        <v>23</v>
      </c>
      <c r="Y195" s="372" t="s">
        <v>23</v>
      </c>
      <c r="Z195" s="372" t="s">
        <v>23</v>
      </c>
      <c r="AA195" s="372" t="s">
        <v>23</v>
      </c>
      <c r="AB195" s="372" t="s">
        <v>23</v>
      </c>
      <c r="AC195" s="372" t="s">
        <v>23</v>
      </c>
      <c r="AD195" s="372" t="s">
        <v>23</v>
      </c>
      <c r="AE195" s="372" t="s">
        <v>23</v>
      </c>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c r="HF195" s="28"/>
      <c r="HG195" s="28"/>
    </row>
    <row r="196" spans="2:215" s="37" customFormat="1" ht="26.85" customHeight="1" x14ac:dyDescent="0.25">
      <c r="B196" s="345" t="s">
        <v>182</v>
      </c>
      <c r="C196" s="345"/>
      <c r="D196" s="193" t="s">
        <v>181</v>
      </c>
      <c r="E196" s="193"/>
      <c r="F196" s="769">
        <v>95</v>
      </c>
      <c r="G196" s="769">
        <v>96</v>
      </c>
      <c r="H196" s="769">
        <v>80</v>
      </c>
      <c r="I196" s="769">
        <v>96</v>
      </c>
      <c r="J196" s="689">
        <v>67</v>
      </c>
      <c r="K196" s="689">
        <v>70</v>
      </c>
      <c r="L196" s="689">
        <v>28</v>
      </c>
      <c r="M196" s="689">
        <v>69</v>
      </c>
      <c r="N196" s="372" t="s">
        <v>23</v>
      </c>
      <c r="O196" s="372" t="s">
        <v>23</v>
      </c>
      <c r="P196" s="372" t="s">
        <v>23</v>
      </c>
      <c r="Q196" s="372" t="s">
        <v>23</v>
      </c>
      <c r="R196" s="372" t="s">
        <v>23</v>
      </c>
      <c r="S196" s="372" t="s">
        <v>23</v>
      </c>
      <c r="T196" s="372" t="s">
        <v>23</v>
      </c>
      <c r="U196" s="372" t="s">
        <v>23</v>
      </c>
      <c r="V196" s="372" t="s">
        <v>23</v>
      </c>
      <c r="W196" s="372" t="s">
        <v>23</v>
      </c>
      <c r="X196" s="372" t="s">
        <v>23</v>
      </c>
      <c r="Y196" s="372" t="s">
        <v>23</v>
      </c>
      <c r="Z196" s="372" t="s">
        <v>23</v>
      </c>
      <c r="AA196" s="372" t="s">
        <v>23</v>
      </c>
      <c r="AB196" s="372" t="s">
        <v>23</v>
      </c>
      <c r="AC196" s="372" t="s">
        <v>23</v>
      </c>
      <c r="AD196" s="372" t="s">
        <v>23</v>
      </c>
      <c r="AE196" s="372" t="s">
        <v>23</v>
      </c>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c r="HF196" s="28"/>
      <c r="HG196" s="28"/>
    </row>
    <row r="197" spans="2:215" s="37" customFormat="1" ht="26.85" customHeight="1" x14ac:dyDescent="0.25">
      <c r="B197" s="345" t="s">
        <v>102</v>
      </c>
      <c r="C197" s="345"/>
      <c r="D197" s="193" t="s">
        <v>181</v>
      </c>
      <c r="E197" s="193"/>
      <c r="F197" s="769">
        <v>19</v>
      </c>
      <c r="G197" s="769">
        <v>60</v>
      </c>
      <c r="H197" s="769">
        <v>54</v>
      </c>
      <c r="I197" s="769">
        <v>51</v>
      </c>
      <c r="J197" s="689">
        <v>19</v>
      </c>
      <c r="K197" s="689">
        <v>55</v>
      </c>
      <c r="L197" s="689">
        <v>9</v>
      </c>
      <c r="M197" s="689">
        <v>48</v>
      </c>
      <c r="N197" s="372" t="s">
        <v>23</v>
      </c>
      <c r="O197" s="372" t="s">
        <v>23</v>
      </c>
      <c r="P197" s="372" t="s">
        <v>23</v>
      </c>
      <c r="Q197" s="372" t="s">
        <v>23</v>
      </c>
      <c r="R197" s="372" t="s">
        <v>23</v>
      </c>
      <c r="S197" s="372" t="s">
        <v>23</v>
      </c>
      <c r="T197" s="372" t="s">
        <v>23</v>
      </c>
      <c r="U197" s="372" t="s">
        <v>23</v>
      </c>
      <c r="V197" s="372" t="s">
        <v>23</v>
      </c>
      <c r="W197" s="372" t="s">
        <v>23</v>
      </c>
      <c r="X197" s="372" t="s">
        <v>23</v>
      </c>
      <c r="Y197" s="372" t="s">
        <v>23</v>
      </c>
      <c r="Z197" s="372" t="s">
        <v>23</v>
      </c>
      <c r="AA197" s="372" t="s">
        <v>23</v>
      </c>
      <c r="AB197" s="372" t="s">
        <v>23</v>
      </c>
      <c r="AC197" s="372" t="s">
        <v>23</v>
      </c>
      <c r="AD197" s="372" t="s">
        <v>23</v>
      </c>
      <c r="AE197" s="372" t="s">
        <v>23</v>
      </c>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c r="HF197" s="28"/>
      <c r="HG197" s="28"/>
    </row>
    <row r="198" spans="2:215" s="37" customFormat="1" ht="26.85" customHeight="1" x14ac:dyDescent="0.25">
      <c r="B198" s="345" t="s">
        <v>183</v>
      </c>
      <c r="C198" s="345"/>
      <c r="D198" s="193" t="s">
        <v>31</v>
      </c>
      <c r="E198" s="193"/>
      <c r="F198" s="771">
        <v>0.13</v>
      </c>
      <c r="G198" s="771">
        <v>0.05</v>
      </c>
      <c r="H198" s="771">
        <v>0.33</v>
      </c>
      <c r="I198" s="771">
        <v>7.0000000000000007E-2</v>
      </c>
      <c r="J198" s="779">
        <v>0.3</v>
      </c>
      <c r="K198" s="779">
        <v>0.04</v>
      </c>
      <c r="L198" s="779">
        <v>0.83</v>
      </c>
      <c r="M198" s="779">
        <v>0.09</v>
      </c>
      <c r="N198" s="372" t="s">
        <v>23</v>
      </c>
      <c r="O198" s="372" t="s">
        <v>23</v>
      </c>
      <c r="P198" s="382">
        <v>1</v>
      </c>
      <c r="Q198" s="372" t="s">
        <v>23</v>
      </c>
      <c r="R198" s="372" t="s">
        <v>23</v>
      </c>
      <c r="S198" s="372" t="s">
        <v>23</v>
      </c>
      <c r="T198" s="372" t="s">
        <v>23</v>
      </c>
      <c r="U198" s="372" t="s">
        <v>23</v>
      </c>
      <c r="V198" s="372" t="s">
        <v>23</v>
      </c>
      <c r="W198" s="372" t="s">
        <v>23</v>
      </c>
      <c r="X198" s="372" t="s">
        <v>23</v>
      </c>
      <c r="Y198" s="372" t="s">
        <v>23</v>
      </c>
      <c r="Z198" s="372" t="s">
        <v>23</v>
      </c>
      <c r="AA198" s="372" t="s">
        <v>23</v>
      </c>
      <c r="AB198" s="372" t="s">
        <v>23</v>
      </c>
      <c r="AC198" s="372" t="s">
        <v>23</v>
      </c>
      <c r="AD198" s="372" t="s">
        <v>23</v>
      </c>
      <c r="AE198" s="372" t="s">
        <v>23</v>
      </c>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c r="HF198" s="28"/>
      <c r="HG198" s="28"/>
    </row>
    <row r="199" spans="2:215" s="37" customFormat="1" ht="26.85" customHeight="1" x14ac:dyDescent="0.25">
      <c r="B199" s="350" t="s">
        <v>184</v>
      </c>
      <c r="C199" s="345"/>
      <c r="D199" s="193" t="s">
        <v>31</v>
      </c>
      <c r="E199" s="193"/>
      <c r="F199" s="769" t="s">
        <v>23</v>
      </c>
      <c r="G199" s="769" t="s">
        <v>23</v>
      </c>
      <c r="H199" s="769" t="s">
        <v>23</v>
      </c>
      <c r="I199" s="776">
        <v>0.99905999999999995</v>
      </c>
      <c r="J199" s="699" t="s">
        <v>23</v>
      </c>
      <c r="K199" s="689" t="s">
        <v>23</v>
      </c>
      <c r="L199" s="689" t="s">
        <v>23</v>
      </c>
      <c r="M199" s="779">
        <v>1</v>
      </c>
      <c r="N199" s="372" t="s">
        <v>23</v>
      </c>
      <c r="O199" s="372" t="s">
        <v>23</v>
      </c>
      <c r="P199" s="382">
        <v>1</v>
      </c>
      <c r="Q199" s="372" t="s">
        <v>23</v>
      </c>
      <c r="R199" s="372" t="s">
        <v>23</v>
      </c>
      <c r="S199" s="372" t="s">
        <v>23</v>
      </c>
      <c r="T199" s="372" t="s">
        <v>23</v>
      </c>
      <c r="U199" s="372" t="s">
        <v>23</v>
      </c>
      <c r="V199" s="372" t="s">
        <v>23</v>
      </c>
      <c r="W199" s="372" t="s">
        <v>23</v>
      </c>
      <c r="X199" s="372" t="s">
        <v>23</v>
      </c>
      <c r="Y199" s="372" t="s">
        <v>23</v>
      </c>
      <c r="Z199" s="372" t="s">
        <v>23</v>
      </c>
      <c r="AA199" s="372" t="s">
        <v>23</v>
      </c>
      <c r="AB199" s="372" t="s">
        <v>23</v>
      </c>
      <c r="AC199" s="372" t="s">
        <v>23</v>
      </c>
      <c r="AD199" s="372" t="s">
        <v>23</v>
      </c>
      <c r="AE199" s="372" t="s">
        <v>23</v>
      </c>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c r="HF199" s="28"/>
      <c r="HG199" s="28"/>
    </row>
    <row r="200" spans="2:215" s="37" customFormat="1" ht="26.85" customHeight="1" x14ac:dyDescent="0.25">
      <c r="B200" s="231" t="s">
        <v>185</v>
      </c>
      <c r="C200" s="231"/>
      <c r="D200" s="193"/>
      <c r="E200" s="193"/>
      <c r="F200" s="647"/>
      <c r="G200" s="647"/>
      <c r="H200" s="647"/>
      <c r="I200" s="647"/>
      <c r="J200" s="689"/>
      <c r="K200" s="689"/>
      <c r="L200" s="689"/>
      <c r="M200" s="689"/>
      <c r="N200" s="191"/>
      <c r="O200" s="191"/>
      <c r="P200" s="191"/>
      <c r="Q200" s="191"/>
      <c r="R200" s="191"/>
      <c r="S200" s="191"/>
      <c r="T200" s="191"/>
      <c r="U200" s="191"/>
      <c r="V200" s="191"/>
      <c r="W200" s="191"/>
      <c r="X200" s="191"/>
      <c r="Y200" s="191"/>
      <c r="Z200" s="191"/>
      <c r="AA200" s="191"/>
      <c r="AB200" s="191"/>
      <c r="AC200" s="191"/>
      <c r="AD200" s="191"/>
      <c r="AE200" s="191"/>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c r="HF200" s="28"/>
      <c r="HG200" s="28"/>
    </row>
    <row r="201" spans="2:215" s="37" customFormat="1" ht="26.85" customHeight="1" x14ac:dyDescent="0.25">
      <c r="B201" s="345" t="s">
        <v>180</v>
      </c>
      <c r="C201" s="345"/>
      <c r="D201" s="193" t="s">
        <v>31</v>
      </c>
      <c r="E201" s="193"/>
      <c r="F201" s="771">
        <v>1</v>
      </c>
      <c r="G201" s="771">
        <v>1</v>
      </c>
      <c r="H201" s="769" t="s">
        <v>23</v>
      </c>
      <c r="I201" s="769" t="s">
        <v>23</v>
      </c>
      <c r="J201" s="718">
        <v>1</v>
      </c>
      <c r="K201" s="693">
        <v>1</v>
      </c>
      <c r="L201" s="689" t="s">
        <v>23</v>
      </c>
      <c r="M201" s="689" t="s">
        <v>23</v>
      </c>
      <c r="N201" s="372" t="s">
        <v>23</v>
      </c>
      <c r="O201" s="372" t="s">
        <v>23</v>
      </c>
      <c r="P201" s="372" t="s">
        <v>23</v>
      </c>
      <c r="Q201" s="372" t="s">
        <v>23</v>
      </c>
      <c r="R201" s="372" t="s">
        <v>23</v>
      </c>
      <c r="S201" s="372" t="s">
        <v>23</v>
      </c>
      <c r="T201" s="372" t="s">
        <v>23</v>
      </c>
      <c r="U201" s="372" t="s">
        <v>23</v>
      </c>
      <c r="V201" s="372" t="s">
        <v>23</v>
      </c>
      <c r="W201" s="372" t="s">
        <v>23</v>
      </c>
      <c r="X201" s="372" t="s">
        <v>23</v>
      </c>
      <c r="Y201" s="372" t="s">
        <v>23</v>
      </c>
      <c r="Z201" s="372" t="s">
        <v>23</v>
      </c>
      <c r="AA201" s="372" t="s">
        <v>23</v>
      </c>
      <c r="AB201" s="372" t="s">
        <v>23</v>
      </c>
      <c r="AC201" s="372" t="s">
        <v>23</v>
      </c>
      <c r="AD201" s="372" t="s">
        <v>23</v>
      </c>
      <c r="AE201" s="372" t="s">
        <v>23</v>
      </c>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c r="HF201" s="28"/>
      <c r="HG201" s="28"/>
    </row>
    <row r="202" spans="2:215" s="37" customFormat="1" ht="26.85" customHeight="1" x14ac:dyDescent="0.25">
      <c r="B202" s="345" t="s">
        <v>182</v>
      </c>
      <c r="C202" s="345"/>
      <c r="D202" s="193" t="s">
        <v>31</v>
      </c>
      <c r="E202" s="193"/>
      <c r="F202" s="771">
        <v>1</v>
      </c>
      <c r="G202" s="771">
        <v>1</v>
      </c>
      <c r="H202" s="769" t="s">
        <v>23</v>
      </c>
      <c r="I202" s="769" t="s">
        <v>23</v>
      </c>
      <c r="J202" s="718">
        <v>1</v>
      </c>
      <c r="K202" s="693">
        <v>1</v>
      </c>
      <c r="L202" s="689" t="s">
        <v>23</v>
      </c>
      <c r="M202" s="689" t="s">
        <v>23</v>
      </c>
      <c r="N202" s="372" t="s">
        <v>23</v>
      </c>
      <c r="O202" s="372" t="s">
        <v>23</v>
      </c>
      <c r="P202" s="372" t="s">
        <v>23</v>
      </c>
      <c r="Q202" s="372" t="s">
        <v>23</v>
      </c>
      <c r="R202" s="372" t="s">
        <v>23</v>
      </c>
      <c r="S202" s="372" t="s">
        <v>23</v>
      </c>
      <c r="T202" s="372" t="s">
        <v>23</v>
      </c>
      <c r="U202" s="372" t="s">
        <v>23</v>
      </c>
      <c r="V202" s="372" t="s">
        <v>23</v>
      </c>
      <c r="W202" s="372" t="s">
        <v>23</v>
      </c>
      <c r="X202" s="372" t="s">
        <v>23</v>
      </c>
      <c r="Y202" s="372" t="s">
        <v>23</v>
      </c>
      <c r="Z202" s="372" t="s">
        <v>23</v>
      </c>
      <c r="AA202" s="372" t="s">
        <v>23</v>
      </c>
      <c r="AB202" s="372" t="s">
        <v>23</v>
      </c>
      <c r="AC202" s="372" t="s">
        <v>23</v>
      </c>
      <c r="AD202" s="372" t="s">
        <v>23</v>
      </c>
      <c r="AE202" s="372" t="s">
        <v>23</v>
      </c>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c r="HF202" s="28"/>
      <c r="HG202" s="28"/>
    </row>
    <row r="203" spans="2:215" s="37" customFormat="1" ht="26.85" customHeight="1" x14ac:dyDescent="0.25">
      <c r="B203" s="345" t="s">
        <v>102</v>
      </c>
      <c r="C203" s="345"/>
      <c r="D203" s="193" t="s">
        <v>31</v>
      </c>
      <c r="E203" s="193"/>
      <c r="F203" s="769" t="s">
        <v>23</v>
      </c>
      <c r="G203" s="769" t="s">
        <v>23</v>
      </c>
      <c r="H203" s="769" t="s">
        <v>23</v>
      </c>
      <c r="I203" s="769" t="s">
        <v>23</v>
      </c>
      <c r="J203" s="699" t="s">
        <v>23</v>
      </c>
      <c r="K203" s="689" t="s">
        <v>23</v>
      </c>
      <c r="L203" s="689" t="s">
        <v>23</v>
      </c>
      <c r="M203" s="689" t="s">
        <v>23</v>
      </c>
      <c r="N203" s="372" t="s">
        <v>23</v>
      </c>
      <c r="O203" s="372" t="s">
        <v>23</v>
      </c>
      <c r="P203" s="372" t="s">
        <v>23</v>
      </c>
      <c r="Q203" s="372" t="s">
        <v>23</v>
      </c>
      <c r="R203" s="372" t="s">
        <v>23</v>
      </c>
      <c r="S203" s="372" t="s">
        <v>23</v>
      </c>
      <c r="T203" s="372" t="s">
        <v>23</v>
      </c>
      <c r="U203" s="372" t="s">
        <v>23</v>
      </c>
      <c r="V203" s="372" t="s">
        <v>23</v>
      </c>
      <c r="W203" s="372" t="s">
        <v>23</v>
      </c>
      <c r="X203" s="372" t="s">
        <v>23</v>
      </c>
      <c r="Y203" s="372" t="s">
        <v>23</v>
      </c>
      <c r="Z203" s="372" t="s">
        <v>23</v>
      </c>
      <c r="AA203" s="372" t="s">
        <v>23</v>
      </c>
      <c r="AB203" s="372" t="s">
        <v>23</v>
      </c>
      <c r="AC203" s="372" t="s">
        <v>23</v>
      </c>
      <c r="AD203" s="372" t="s">
        <v>23</v>
      </c>
      <c r="AE203" s="372" t="s">
        <v>23</v>
      </c>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c r="DL203" s="28"/>
      <c r="DM203" s="28"/>
      <c r="DN203" s="28"/>
      <c r="DO203" s="28"/>
      <c r="DP203" s="28"/>
      <c r="DQ203" s="28"/>
      <c r="DR203" s="28"/>
      <c r="DS203" s="28"/>
      <c r="DT203" s="28"/>
      <c r="DU203" s="28"/>
      <c r="DV203" s="28"/>
      <c r="DW203" s="28"/>
      <c r="DX203" s="28"/>
      <c r="DY203" s="28"/>
      <c r="DZ203" s="28"/>
      <c r="EA203" s="28"/>
      <c r="EB203" s="28"/>
      <c r="EC203" s="28"/>
      <c r="ED203" s="28"/>
      <c r="EE203" s="28"/>
      <c r="EF203" s="28"/>
      <c r="EG203" s="28"/>
      <c r="EH203" s="28"/>
      <c r="EI203" s="28"/>
      <c r="EJ203" s="28"/>
      <c r="EK203" s="28"/>
      <c r="EL203" s="28"/>
      <c r="EM203" s="28"/>
      <c r="EN203" s="28"/>
      <c r="EO203" s="28"/>
      <c r="EP203" s="28"/>
      <c r="EQ203" s="28"/>
      <c r="ER203" s="28"/>
      <c r="ES203" s="28"/>
      <c r="ET203" s="28"/>
      <c r="EU203" s="28"/>
      <c r="EV203" s="28"/>
      <c r="EW203" s="28"/>
      <c r="EX203" s="28"/>
      <c r="EY203" s="28"/>
      <c r="EZ203" s="28"/>
      <c r="FA203" s="28"/>
      <c r="FB203" s="28"/>
      <c r="FC203" s="28"/>
      <c r="FD203" s="28"/>
      <c r="FE203" s="28"/>
      <c r="FF203" s="28"/>
      <c r="FG203" s="28"/>
      <c r="FH203" s="28"/>
      <c r="FI203" s="28"/>
      <c r="FJ203" s="28"/>
      <c r="FK203" s="28"/>
      <c r="FL203" s="28"/>
      <c r="FM203" s="28"/>
      <c r="FN203" s="28"/>
      <c r="FO203" s="28"/>
      <c r="FP203" s="28"/>
      <c r="FQ203" s="28"/>
      <c r="FR203" s="28"/>
      <c r="FS203" s="28"/>
      <c r="FT203" s="28"/>
      <c r="FU203" s="28"/>
      <c r="FV203" s="28"/>
      <c r="FW203" s="28"/>
      <c r="FX203" s="28"/>
      <c r="FY203" s="28"/>
      <c r="FZ203" s="28"/>
      <c r="GA203" s="28"/>
      <c r="GB203" s="28"/>
      <c r="GC203" s="28"/>
      <c r="GD203" s="28"/>
      <c r="GE203" s="28"/>
      <c r="GF203" s="28"/>
      <c r="GG203" s="28"/>
      <c r="GH203" s="28"/>
      <c r="GI203" s="28"/>
      <c r="GJ203" s="28"/>
      <c r="GK203" s="28"/>
      <c r="GL203" s="28"/>
      <c r="GM203" s="28"/>
      <c r="GN203" s="28"/>
      <c r="GO203" s="28"/>
      <c r="GP203" s="28"/>
      <c r="GQ203" s="28"/>
      <c r="GR203" s="28"/>
      <c r="GS203" s="28"/>
      <c r="GT203" s="28"/>
      <c r="GU203" s="28"/>
      <c r="GV203" s="28"/>
      <c r="GW203" s="28"/>
      <c r="GX203" s="28"/>
      <c r="GY203" s="28"/>
      <c r="GZ203" s="28"/>
      <c r="HA203" s="28"/>
      <c r="HB203" s="28"/>
      <c r="HC203" s="28"/>
      <c r="HD203" s="28"/>
      <c r="HE203" s="28"/>
      <c r="HF203" s="28"/>
      <c r="HG203" s="28"/>
    </row>
    <row r="204" spans="2:215" s="37" customFormat="1" ht="26.85" customHeight="1" x14ac:dyDescent="0.25">
      <c r="B204" s="795" t="s">
        <v>186</v>
      </c>
      <c r="C204" s="796"/>
      <c r="D204" s="17"/>
      <c r="E204" s="17"/>
      <c r="F204" s="797"/>
      <c r="G204" s="797"/>
      <c r="H204" s="797"/>
      <c r="I204" s="797"/>
      <c r="J204" s="711"/>
      <c r="K204" s="798"/>
      <c r="L204" s="798"/>
      <c r="M204" s="798"/>
      <c r="N204" s="379"/>
      <c r="O204" s="379"/>
      <c r="P204" s="379"/>
      <c r="Q204" s="379"/>
      <c r="R204" s="379"/>
      <c r="S204" s="379"/>
      <c r="T204" s="379"/>
      <c r="U204" s="379"/>
      <c r="V204" s="379"/>
      <c r="W204" s="379"/>
      <c r="X204" s="379"/>
      <c r="Y204" s="379"/>
      <c r="Z204" s="379"/>
      <c r="AA204" s="379"/>
      <c r="AB204" s="379"/>
      <c r="AC204" s="379"/>
      <c r="AD204" s="379"/>
      <c r="AE204" s="379"/>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c r="DL204" s="28"/>
      <c r="DM204" s="28"/>
      <c r="DN204" s="28"/>
      <c r="DO204" s="28"/>
      <c r="DP204" s="28"/>
      <c r="DQ204" s="28"/>
      <c r="DR204" s="28"/>
      <c r="DS204" s="28"/>
      <c r="DT204" s="28"/>
      <c r="DU204" s="28"/>
      <c r="DV204" s="28"/>
      <c r="DW204" s="28"/>
      <c r="DX204" s="28"/>
      <c r="DY204" s="28"/>
      <c r="DZ204" s="28"/>
      <c r="EA204" s="28"/>
      <c r="EB204" s="28"/>
      <c r="EC204" s="28"/>
      <c r="ED204" s="28"/>
      <c r="EE204" s="28"/>
      <c r="EF204" s="28"/>
      <c r="EG204" s="28"/>
      <c r="EH204" s="28"/>
      <c r="EI204" s="28"/>
      <c r="EJ204" s="28"/>
      <c r="EK204" s="28"/>
      <c r="EL204" s="28"/>
      <c r="EM204" s="28"/>
      <c r="EN204" s="28"/>
      <c r="EO204" s="28"/>
      <c r="EP204" s="28"/>
      <c r="EQ204" s="28"/>
      <c r="ER204" s="28"/>
      <c r="ES204" s="28"/>
      <c r="ET204" s="28"/>
      <c r="EU204" s="28"/>
      <c r="EV204" s="28"/>
      <c r="EW204" s="28"/>
      <c r="EX204" s="28"/>
      <c r="EY204" s="28"/>
      <c r="EZ204" s="28"/>
      <c r="FA204" s="28"/>
      <c r="FB204" s="28"/>
      <c r="FC204" s="28"/>
      <c r="FD204" s="28"/>
      <c r="FE204" s="28"/>
      <c r="FF204" s="28"/>
      <c r="FG204" s="28"/>
      <c r="FH204" s="28"/>
      <c r="FI204" s="28"/>
      <c r="FJ204" s="28"/>
      <c r="FK204" s="28"/>
      <c r="FL204" s="28"/>
      <c r="FM204" s="28"/>
      <c r="FN204" s="28"/>
      <c r="FO204" s="28"/>
      <c r="FP204" s="28"/>
      <c r="FQ204" s="28"/>
      <c r="FR204" s="28"/>
      <c r="FS204" s="28"/>
      <c r="FT204" s="28"/>
      <c r="FU204" s="28"/>
      <c r="FV204" s="28"/>
      <c r="FW204" s="28"/>
      <c r="FX204" s="28"/>
      <c r="FY204" s="28"/>
      <c r="FZ204" s="28"/>
      <c r="GA204" s="28"/>
      <c r="GB204" s="28"/>
      <c r="GC204" s="28"/>
      <c r="GD204" s="28"/>
      <c r="GE204" s="28"/>
      <c r="GF204" s="28"/>
      <c r="GG204" s="28"/>
      <c r="GH204" s="28"/>
      <c r="GI204" s="28"/>
      <c r="GJ204" s="28"/>
      <c r="GK204" s="28"/>
      <c r="GL204" s="28"/>
      <c r="GM204" s="28"/>
      <c r="GN204" s="28"/>
      <c r="GO204" s="28"/>
      <c r="GP204" s="28"/>
      <c r="GQ204" s="28"/>
      <c r="GR204" s="28"/>
      <c r="GS204" s="28"/>
      <c r="GT204" s="28"/>
      <c r="GU204" s="28"/>
      <c r="GV204" s="28"/>
      <c r="GW204" s="28"/>
      <c r="GX204" s="28"/>
      <c r="GY204" s="28"/>
      <c r="GZ204" s="28"/>
      <c r="HA204" s="28"/>
      <c r="HB204" s="28"/>
      <c r="HC204" s="28"/>
      <c r="HD204" s="28"/>
      <c r="HE204" s="28"/>
      <c r="HF204" s="28"/>
      <c r="HG204" s="28"/>
    </row>
    <row r="205" spans="2:215" ht="50.1" customHeight="1" x14ac:dyDescent="0.2">
      <c r="F205" s="43"/>
      <c r="G205" s="43"/>
      <c r="H205" s="43"/>
      <c r="I205" s="43"/>
      <c r="J205" s="43"/>
      <c r="K205" s="43"/>
      <c r="L205" s="43"/>
      <c r="M205" s="43"/>
      <c r="N205" s="12"/>
      <c r="O205" s="12"/>
      <c r="P205" s="12"/>
      <c r="Q205" s="12"/>
      <c r="R205" s="12"/>
      <c r="S205" s="12"/>
      <c r="T205" s="12"/>
      <c r="U205" s="12"/>
      <c r="V205" s="12"/>
      <c r="W205" s="12"/>
      <c r="X205" s="12"/>
      <c r="Y205" s="12"/>
      <c r="Z205" s="12"/>
      <c r="AA205" s="12"/>
      <c r="AB205" s="12"/>
      <c r="AC205" s="12"/>
      <c r="AD205" s="12"/>
      <c r="AE205" s="12"/>
    </row>
    <row r="206" spans="2:215" ht="26.85" customHeight="1" x14ac:dyDescent="0.25">
      <c r="B206" s="6" t="s">
        <v>187</v>
      </c>
      <c r="C206" s="6"/>
      <c r="D206" s="7" t="s">
        <v>9</v>
      </c>
      <c r="E206" s="261"/>
      <c r="F206" s="930" t="s">
        <v>10</v>
      </c>
      <c r="G206" s="930"/>
      <c r="H206" s="930"/>
      <c r="I206" s="930"/>
      <c r="J206" s="930" t="s">
        <v>11</v>
      </c>
      <c r="K206" s="930"/>
      <c r="L206" s="930"/>
      <c r="M206" s="930"/>
      <c r="N206" s="920" t="s">
        <v>12</v>
      </c>
      <c r="O206" s="920"/>
      <c r="P206" s="920"/>
      <c r="Q206" s="920" t="s">
        <v>13</v>
      </c>
      <c r="R206" s="920"/>
      <c r="S206" s="920"/>
      <c r="T206" s="920" t="s">
        <v>14</v>
      </c>
      <c r="U206" s="920"/>
      <c r="V206" s="920"/>
      <c r="W206" s="920" t="s">
        <v>15</v>
      </c>
      <c r="X206" s="920"/>
      <c r="Y206" s="920"/>
      <c r="Z206" s="920" t="s">
        <v>16</v>
      </c>
      <c r="AA206" s="920"/>
      <c r="AB206" s="920"/>
      <c r="AC206" s="920" t="s">
        <v>17</v>
      </c>
      <c r="AD206" s="920"/>
      <c r="AE206" s="920"/>
    </row>
    <row r="207" spans="2:215" ht="26.85" customHeight="1" x14ac:dyDescent="0.25">
      <c r="B207" s="548"/>
      <c r="C207" s="548"/>
      <c r="D207" s="193"/>
      <c r="E207" s="193"/>
      <c r="F207" s="954" t="s">
        <v>188</v>
      </c>
      <c r="G207" s="954"/>
      <c r="H207" s="954" t="s">
        <v>623</v>
      </c>
      <c r="I207" s="954"/>
      <c r="J207" s="925" t="s">
        <v>188</v>
      </c>
      <c r="K207" s="925"/>
      <c r="L207" s="925" t="s">
        <v>189</v>
      </c>
      <c r="M207" s="925"/>
      <c r="N207" s="201" t="s">
        <v>188</v>
      </c>
      <c r="O207" s="928" t="s">
        <v>189</v>
      </c>
      <c r="P207" s="928"/>
      <c r="Q207" s="919"/>
      <c r="R207" s="919"/>
      <c r="S207" s="919"/>
      <c r="T207" s="919"/>
      <c r="U207" s="919"/>
      <c r="V207" s="919"/>
      <c r="W207" s="919"/>
      <c r="X207" s="919"/>
      <c r="Y207" s="919"/>
      <c r="Z207" s="919"/>
      <c r="AA207" s="919"/>
      <c r="AB207" s="919"/>
      <c r="AC207" s="919"/>
      <c r="AD207" s="919"/>
      <c r="AE207" s="919"/>
    </row>
    <row r="208" spans="2:215" ht="26.85" customHeight="1" x14ac:dyDescent="0.25">
      <c r="B208" s="193" t="s">
        <v>190</v>
      </c>
      <c r="C208" s="193"/>
      <c r="D208" s="193" t="s">
        <v>25</v>
      </c>
      <c r="E208" s="193"/>
      <c r="F208" s="950">
        <v>6</v>
      </c>
      <c r="G208" s="950"/>
      <c r="H208" s="950">
        <v>7</v>
      </c>
      <c r="I208" s="950"/>
      <c r="J208" s="923">
        <v>6</v>
      </c>
      <c r="K208" s="923"/>
      <c r="L208" s="923">
        <v>7</v>
      </c>
      <c r="M208" s="923"/>
      <c r="N208" s="191">
        <v>6</v>
      </c>
      <c r="O208" s="929">
        <v>8</v>
      </c>
      <c r="P208" s="929"/>
      <c r="Q208" s="919" t="s">
        <v>23</v>
      </c>
      <c r="R208" s="919"/>
      <c r="S208" s="919"/>
      <c r="T208" s="919" t="s">
        <v>23</v>
      </c>
      <c r="U208" s="919"/>
      <c r="V208" s="919"/>
      <c r="W208" s="919" t="s">
        <v>23</v>
      </c>
      <c r="X208" s="919"/>
      <c r="Y208" s="919"/>
      <c r="Z208" s="919" t="s">
        <v>23</v>
      </c>
      <c r="AA208" s="919"/>
      <c r="AB208" s="919"/>
      <c r="AC208" s="919" t="s">
        <v>23</v>
      </c>
      <c r="AD208" s="919"/>
      <c r="AE208" s="919"/>
    </row>
    <row r="209" spans="2:31" ht="26.85" customHeight="1" x14ac:dyDescent="0.25">
      <c r="B209" s="193" t="s">
        <v>191</v>
      </c>
      <c r="C209" s="193"/>
      <c r="D209" s="193" t="s">
        <v>25</v>
      </c>
      <c r="E209" s="193"/>
      <c r="F209" s="950">
        <v>4</v>
      </c>
      <c r="G209" s="950"/>
      <c r="H209" s="950">
        <v>2</v>
      </c>
      <c r="I209" s="950"/>
      <c r="J209" s="923">
        <v>3</v>
      </c>
      <c r="K209" s="923"/>
      <c r="L209" s="923">
        <v>2</v>
      </c>
      <c r="M209" s="923"/>
      <c r="N209" s="191">
        <v>4</v>
      </c>
      <c r="O209" s="933">
        <v>2</v>
      </c>
      <c r="P209" s="927"/>
      <c r="Q209" s="919" t="s">
        <v>23</v>
      </c>
      <c r="R209" s="919"/>
      <c r="S209" s="919"/>
      <c r="T209" s="919" t="s">
        <v>23</v>
      </c>
      <c r="U209" s="919"/>
      <c r="V209" s="919"/>
      <c r="W209" s="919" t="s">
        <v>23</v>
      </c>
      <c r="X209" s="919"/>
      <c r="Y209" s="919"/>
      <c r="Z209" s="919" t="s">
        <v>23</v>
      </c>
      <c r="AA209" s="919"/>
      <c r="AB209" s="919"/>
      <c r="AC209" s="919" t="s">
        <v>23</v>
      </c>
      <c r="AD209" s="919"/>
      <c r="AE209" s="919"/>
    </row>
    <row r="210" spans="2:31" ht="26.85" customHeight="1" x14ac:dyDescent="0.25">
      <c r="B210" s="193" t="s">
        <v>101</v>
      </c>
      <c r="C210" s="193"/>
      <c r="D210" s="193" t="s">
        <v>25</v>
      </c>
      <c r="E210" s="193"/>
      <c r="F210" s="950">
        <v>0</v>
      </c>
      <c r="G210" s="950"/>
      <c r="H210" s="950">
        <v>0</v>
      </c>
      <c r="I210" s="950"/>
      <c r="J210" s="923">
        <v>0</v>
      </c>
      <c r="K210" s="923"/>
      <c r="L210" s="923">
        <v>0</v>
      </c>
      <c r="M210" s="923"/>
      <c r="N210" s="372" t="s">
        <v>23</v>
      </c>
      <c r="O210" s="926" t="s">
        <v>23</v>
      </c>
      <c r="P210" s="927"/>
      <c r="Q210" s="919" t="s">
        <v>23</v>
      </c>
      <c r="R210" s="919"/>
      <c r="S210" s="919"/>
      <c r="T210" s="919" t="s">
        <v>23</v>
      </c>
      <c r="U210" s="919"/>
      <c r="V210" s="919"/>
      <c r="W210" s="919" t="s">
        <v>23</v>
      </c>
      <c r="X210" s="919"/>
      <c r="Y210" s="919"/>
      <c r="Z210" s="919" t="s">
        <v>23</v>
      </c>
      <c r="AA210" s="919"/>
      <c r="AB210" s="919"/>
      <c r="AC210" s="919" t="s">
        <v>23</v>
      </c>
      <c r="AD210" s="919"/>
      <c r="AE210" s="919"/>
    </row>
    <row r="211" spans="2:31" ht="26.85" customHeight="1" x14ac:dyDescent="0.25">
      <c r="B211" s="193" t="s">
        <v>192</v>
      </c>
      <c r="C211" s="193"/>
      <c r="D211" s="193" t="s">
        <v>25</v>
      </c>
      <c r="E211" s="193"/>
      <c r="F211" s="950">
        <v>0</v>
      </c>
      <c r="G211" s="950"/>
      <c r="H211" s="950">
        <v>0</v>
      </c>
      <c r="I211" s="950"/>
      <c r="J211" s="923">
        <v>0</v>
      </c>
      <c r="K211" s="923"/>
      <c r="L211" s="923">
        <v>0</v>
      </c>
      <c r="M211" s="923"/>
      <c r="N211" s="372" t="s">
        <v>23</v>
      </c>
      <c r="O211" s="926" t="s">
        <v>23</v>
      </c>
      <c r="P211" s="927"/>
      <c r="Q211" s="919" t="s">
        <v>23</v>
      </c>
      <c r="R211" s="919"/>
      <c r="S211" s="919"/>
      <c r="T211" s="919" t="s">
        <v>23</v>
      </c>
      <c r="U211" s="919"/>
      <c r="V211" s="919"/>
      <c r="W211" s="919" t="s">
        <v>23</v>
      </c>
      <c r="X211" s="919"/>
      <c r="Y211" s="919"/>
      <c r="Z211" s="919" t="s">
        <v>23</v>
      </c>
      <c r="AA211" s="919"/>
      <c r="AB211" s="919"/>
      <c r="AC211" s="919" t="s">
        <v>23</v>
      </c>
      <c r="AD211" s="919"/>
      <c r="AE211" s="919"/>
    </row>
    <row r="212" spans="2:31" ht="26.85" customHeight="1" x14ac:dyDescent="0.25">
      <c r="B212" s="193" t="s">
        <v>193</v>
      </c>
      <c r="C212" s="193"/>
      <c r="D212" s="193" t="s">
        <v>25</v>
      </c>
      <c r="E212" s="193"/>
      <c r="F212" s="950">
        <v>4</v>
      </c>
      <c r="G212" s="950"/>
      <c r="H212" s="950">
        <v>3</v>
      </c>
      <c r="I212" s="950"/>
      <c r="J212" s="923">
        <v>3</v>
      </c>
      <c r="K212" s="923"/>
      <c r="L212" s="923">
        <v>4</v>
      </c>
      <c r="M212" s="923"/>
      <c r="N212" s="372" t="s">
        <v>23</v>
      </c>
      <c r="O212" s="926" t="s">
        <v>23</v>
      </c>
      <c r="P212" s="927"/>
      <c r="Q212" s="919" t="s">
        <v>23</v>
      </c>
      <c r="R212" s="919"/>
      <c r="S212" s="919"/>
      <c r="T212" s="919" t="s">
        <v>23</v>
      </c>
      <c r="U212" s="919"/>
      <c r="V212" s="919"/>
      <c r="W212" s="919" t="s">
        <v>23</v>
      </c>
      <c r="X212" s="919"/>
      <c r="Y212" s="919"/>
      <c r="Z212" s="919" t="s">
        <v>23</v>
      </c>
      <c r="AA212" s="919"/>
      <c r="AB212" s="919"/>
      <c r="AC212" s="919" t="s">
        <v>23</v>
      </c>
      <c r="AD212" s="919"/>
      <c r="AE212" s="919"/>
    </row>
    <row r="213" spans="2:31" ht="26.85" customHeight="1" x14ac:dyDescent="0.25">
      <c r="B213" s="193" t="s">
        <v>194</v>
      </c>
      <c r="C213" s="193"/>
      <c r="D213" s="193" t="s">
        <v>25</v>
      </c>
      <c r="E213" s="193"/>
      <c r="F213" s="950">
        <v>6</v>
      </c>
      <c r="G213" s="950"/>
      <c r="H213" s="950">
        <v>6</v>
      </c>
      <c r="I213" s="950"/>
      <c r="J213" s="923">
        <v>6</v>
      </c>
      <c r="K213" s="923"/>
      <c r="L213" s="923">
        <v>5</v>
      </c>
      <c r="M213" s="923"/>
      <c r="N213" s="372" t="s">
        <v>23</v>
      </c>
      <c r="O213" s="926" t="s">
        <v>23</v>
      </c>
      <c r="P213" s="927"/>
      <c r="Q213" s="919" t="s">
        <v>23</v>
      </c>
      <c r="R213" s="919"/>
      <c r="S213" s="919"/>
      <c r="T213" s="919" t="s">
        <v>23</v>
      </c>
      <c r="U213" s="919"/>
      <c r="V213" s="919"/>
      <c r="W213" s="919" t="s">
        <v>23</v>
      </c>
      <c r="X213" s="919"/>
      <c r="Y213" s="919"/>
      <c r="Z213" s="919" t="s">
        <v>23</v>
      </c>
      <c r="AA213" s="919"/>
      <c r="AB213" s="919"/>
      <c r="AC213" s="919" t="s">
        <v>23</v>
      </c>
      <c r="AD213" s="919"/>
      <c r="AE213" s="919"/>
    </row>
    <row r="214" spans="2:31" ht="14.85" customHeight="1" x14ac:dyDescent="0.2">
      <c r="B214" s="263"/>
      <c r="C214" s="263"/>
      <c r="D214" s="264"/>
      <c r="E214" s="264"/>
      <c r="F214" s="462"/>
      <c r="G214" s="462"/>
      <c r="H214" s="463"/>
      <c r="I214" s="463"/>
      <c r="J214" s="462"/>
      <c r="K214" s="462"/>
      <c r="L214" s="463"/>
      <c r="M214" s="463"/>
      <c r="N214" s="265"/>
      <c r="O214" s="265"/>
      <c r="P214" s="266"/>
      <c r="Q214" s="266"/>
      <c r="R214" s="266"/>
      <c r="S214" s="266"/>
      <c r="T214" s="266"/>
      <c r="U214" s="266"/>
      <c r="V214" s="266"/>
      <c r="W214" s="266"/>
      <c r="X214" s="266"/>
      <c r="Y214" s="266"/>
      <c r="Z214" s="266"/>
      <c r="AA214" s="266"/>
      <c r="AB214" s="266"/>
      <c r="AC214" s="266"/>
      <c r="AD214" s="266"/>
      <c r="AE214" s="266"/>
    </row>
    <row r="215" spans="2:31" ht="14.85" customHeight="1" x14ac:dyDescent="0.2">
      <c r="H215" s="449"/>
      <c r="I215" s="449"/>
      <c r="L215" s="449"/>
      <c r="M215" s="449"/>
    </row>
    <row r="216" spans="2:31" s="37" customFormat="1" ht="71.099999999999994" customHeight="1" x14ac:dyDescent="0.2">
      <c r="B216" s="944" t="s">
        <v>624</v>
      </c>
      <c r="C216" s="944"/>
      <c r="D216" s="944"/>
      <c r="E216" s="944"/>
      <c r="F216" s="944"/>
      <c r="G216" s="944"/>
      <c r="H216" s="944"/>
      <c r="I216" s="944"/>
      <c r="J216" s="944"/>
      <c r="K216" s="944"/>
      <c r="L216" s="944"/>
      <c r="M216" s="944"/>
      <c r="N216" s="944"/>
      <c r="O216" s="944"/>
      <c r="P216" s="944"/>
      <c r="Q216" s="944"/>
      <c r="R216" s="944"/>
      <c r="S216" s="944"/>
      <c r="T216" s="944"/>
      <c r="U216" s="944"/>
      <c r="V216" s="944"/>
      <c r="W216" s="944"/>
      <c r="X216" s="944"/>
      <c r="Y216" s="944"/>
      <c r="Z216" s="944"/>
      <c r="AA216" s="944"/>
      <c r="AB216" s="944"/>
      <c r="AC216" s="944"/>
      <c r="AD216" s="944"/>
      <c r="AE216" s="944"/>
    </row>
    <row r="217" spans="2:31" x14ac:dyDescent="0.2">
      <c r="B217" s="47"/>
    </row>
  </sheetData>
  <sheetProtection algorithmName="SHA-512" hashValue="E+s2A9YW+GBA+I05k25O3+wY9b3w9mD90RItiF5F3zwBi6BPADUFx7i58YQyXYtqomIieC6ukIfFfJQ3vMoWjQ==" saltValue="4K7RnyyEdE5+0OLh959kTQ==" spinCount="100000" sheet="1" objects="1" scenarios="1"/>
  <mergeCells count="627">
    <mergeCell ref="F213:G213"/>
    <mergeCell ref="H213:I213"/>
    <mergeCell ref="F208:G208"/>
    <mergeCell ref="H208:I208"/>
    <mergeCell ref="F209:G209"/>
    <mergeCell ref="H209:I209"/>
    <mergeCell ref="F210:G210"/>
    <mergeCell ref="H210:I210"/>
    <mergeCell ref="F211:G211"/>
    <mergeCell ref="H211:I211"/>
    <mergeCell ref="F212:G212"/>
    <mergeCell ref="H212:I212"/>
    <mergeCell ref="F186:I186"/>
    <mergeCell ref="F187:I187"/>
    <mergeCell ref="F188:I188"/>
    <mergeCell ref="F190:I190"/>
    <mergeCell ref="F191:I191"/>
    <mergeCell ref="F193:I193"/>
    <mergeCell ref="F206:I206"/>
    <mergeCell ref="F207:G207"/>
    <mergeCell ref="H207:I207"/>
    <mergeCell ref="F174:I174"/>
    <mergeCell ref="F176:I176"/>
    <mergeCell ref="F177:I177"/>
    <mergeCell ref="F179:I179"/>
    <mergeCell ref="F180:I180"/>
    <mergeCell ref="F182:I182"/>
    <mergeCell ref="F183:I183"/>
    <mergeCell ref="F184:I184"/>
    <mergeCell ref="F185:I185"/>
    <mergeCell ref="F164:I164"/>
    <mergeCell ref="F165:I165"/>
    <mergeCell ref="F166:I166"/>
    <mergeCell ref="F167:I167"/>
    <mergeCell ref="F168:I168"/>
    <mergeCell ref="F169:I169"/>
    <mergeCell ref="F170:I170"/>
    <mergeCell ref="F172:I172"/>
    <mergeCell ref="F173:I173"/>
    <mergeCell ref="F128:I128"/>
    <mergeCell ref="F148:I148"/>
    <mergeCell ref="F156:I156"/>
    <mergeCell ref="F157:I157"/>
    <mergeCell ref="F158:I158"/>
    <mergeCell ref="F159:I159"/>
    <mergeCell ref="F160:I160"/>
    <mergeCell ref="F161:I161"/>
    <mergeCell ref="F162:I162"/>
    <mergeCell ref="F4:I4"/>
    <mergeCell ref="F5:I5"/>
    <mergeCell ref="F6:I6"/>
    <mergeCell ref="F9:I9"/>
    <mergeCell ref="F15:I15"/>
    <mergeCell ref="F42:I42"/>
    <mergeCell ref="F46:I46"/>
    <mergeCell ref="F67:I67"/>
    <mergeCell ref="F72:I72"/>
    <mergeCell ref="W162:Y162"/>
    <mergeCell ref="Z162:AB162"/>
    <mergeCell ref="AC162:AE162"/>
    <mergeCell ref="J162:M162"/>
    <mergeCell ref="N162:P162"/>
    <mergeCell ref="Q162:S162"/>
    <mergeCell ref="T162:V162"/>
    <mergeCell ref="J169:M169"/>
    <mergeCell ref="Q173:S173"/>
    <mergeCell ref="T173:V173"/>
    <mergeCell ref="W173:Y173"/>
    <mergeCell ref="Z173:AB173"/>
    <mergeCell ref="AC173:AE173"/>
    <mergeCell ref="J172:M172"/>
    <mergeCell ref="N172:P172"/>
    <mergeCell ref="J164:M164"/>
    <mergeCell ref="N164:P164"/>
    <mergeCell ref="Q164:S164"/>
    <mergeCell ref="T164:V164"/>
    <mergeCell ref="W164:Y164"/>
    <mergeCell ref="Z164:AB164"/>
    <mergeCell ref="AC164:AE164"/>
    <mergeCell ref="N169:P169"/>
    <mergeCell ref="Q169:S169"/>
    <mergeCell ref="B216:AE216"/>
    <mergeCell ref="J176:M176"/>
    <mergeCell ref="N176:P176"/>
    <mergeCell ref="Q176:S176"/>
    <mergeCell ref="T176:V176"/>
    <mergeCell ref="W176:Y176"/>
    <mergeCell ref="Z176:AB176"/>
    <mergeCell ref="AC176:AE176"/>
    <mergeCell ref="J179:M179"/>
    <mergeCell ref="N179:P179"/>
    <mergeCell ref="Q179:S179"/>
    <mergeCell ref="T179:V179"/>
    <mergeCell ref="W179:Y179"/>
    <mergeCell ref="Z179:AB179"/>
    <mergeCell ref="AC179:AE179"/>
    <mergeCell ref="T213:V213"/>
    <mergeCell ref="Q213:S213"/>
    <mergeCell ref="W213:Y213"/>
    <mergeCell ref="AC213:AE213"/>
    <mergeCell ref="Q212:S212"/>
    <mergeCell ref="T212:V212"/>
    <mergeCell ref="W212:Y212"/>
    <mergeCell ref="Z212:AB212"/>
    <mergeCell ref="AC212:AE212"/>
    <mergeCell ref="Z213:AB213"/>
    <mergeCell ref="T211:V211"/>
    <mergeCell ref="W211:Y211"/>
    <mergeCell ref="Z211:AB211"/>
    <mergeCell ref="AC211:AE211"/>
    <mergeCell ref="W209:Y209"/>
    <mergeCell ref="Z209:AB209"/>
    <mergeCell ref="AC209:AE209"/>
    <mergeCell ref="Q210:S210"/>
    <mergeCell ref="T210:V210"/>
    <mergeCell ref="W210:Y210"/>
    <mergeCell ref="Z210:AB210"/>
    <mergeCell ref="AC210:AE210"/>
    <mergeCell ref="T209:V209"/>
    <mergeCell ref="AC207:AE207"/>
    <mergeCell ref="Q208:S208"/>
    <mergeCell ref="T208:V208"/>
    <mergeCell ref="W208:Y208"/>
    <mergeCell ref="Z208:AB208"/>
    <mergeCell ref="AC208:AE208"/>
    <mergeCell ref="T207:V207"/>
    <mergeCell ref="W207:Y207"/>
    <mergeCell ref="Z207:AB207"/>
    <mergeCell ref="Z191:AB191"/>
    <mergeCell ref="AC191:AE191"/>
    <mergeCell ref="Q206:S206"/>
    <mergeCell ref="T206:V206"/>
    <mergeCell ref="W206:Y206"/>
    <mergeCell ref="Z206:AB206"/>
    <mergeCell ref="AC206:AE206"/>
    <mergeCell ref="J191:M191"/>
    <mergeCell ref="N191:P191"/>
    <mergeCell ref="Q191:S191"/>
    <mergeCell ref="T191:V191"/>
    <mergeCell ref="W191:Y191"/>
    <mergeCell ref="AC193:AE193"/>
    <mergeCell ref="T193:V193"/>
    <mergeCell ref="W193:Y193"/>
    <mergeCell ref="Z193:AB193"/>
    <mergeCell ref="J193:M193"/>
    <mergeCell ref="N206:P206"/>
    <mergeCell ref="J206:M206"/>
    <mergeCell ref="Z188:AB188"/>
    <mergeCell ref="AC188:AE188"/>
    <mergeCell ref="J190:M190"/>
    <mergeCell ref="N190:P190"/>
    <mergeCell ref="Q190:S190"/>
    <mergeCell ref="T190:V190"/>
    <mergeCell ref="W190:Y190"/>
    <mergeCell ref="Z190:AB190"/>
    <mergeCell ref="AC190:AE190"/>
    <mergeCell ref="J188:M188"/>
    <mergeCell ref="N188:P188"/>
    <mergeCell ref="Q188:S188"/>
    <mergeCell ref="T188:V188"/>
    <mergeCell ref="W188:Y188"/>
    <mergeCell ref="Z186:AB186"/>
    <mergeCell ref="AC186:AE186"/>
    <mergeCell ref="J187:M187"/>
    <mergeCell ref="N187:P187"/>
    <mergeCell ref="Q187:S187"/>
    <mergeCell ref="T187:V187"/>
    <mergeCell ref="W187:Y187"/>
    <mergeCell ref="Z187:AB187"/>
    <mergeCell ref="AC187:AE187"/>
    <mergeCell ref="J186:M186"/>
    <mergeCell ref="N186:P186"/>
    <mergeCell ref="Q186:S186"/>
    <mergeCell ref="T186:V186"/>
    <mergeCell ref="W186:Y186"/>
    <mergeCell ref="Z184:AB184"/>
    <mergeCell ref="AC184:AE184"/>
    <mergeCell ref="J185:M185"/>
    <mergeCell ref="N185:P185"/>
    <mergeCell ref="Q185:S185"/>
    <mergeCell ref="T185:V185"/>
    <mergeCell ref="W185:Y185"/>
    <mergeCell ref="Z185:AB185"/>
    <mergeCell ref="AC185:AE185"/>
    <mergeCell ref="J184:M184"/>
    <mergeCell ref="N184:P184"/>
    <mergeCell ref="Q184:S184"/>
    <mergeCell ref="T184:V184"/>
    <mergeCell ref="Z182:AB182"/>
    <mergeCell ref="AC182:AE182"/>
    <mergeCell ref="J183:M183"/>
    <mergeCell ref="N183:P183"/>
    <mergeCell ref="Q183:S183"/>
    <mergeCell ref="T183:V183"/>
    <mergeCell ref="W183:Y183"/>
    <mergeCell ref="Z183:AB183"/>
    <mergeCell ref="AC183:AE183"/>
    <mergeCell ref="J182:M182"/>
    <mergeCell ref="N182:P182"/>
    <mergeCell ref="Q182:S182"/>
    <mergeCell ref="T182:V182"/>
    <mergeCell ref="W182:Y182"/>
    <mergeCell ref="J180:M180"/>
    <mergeCell ref="N180:P180"/>
    <mergeCell ref="Q180:S180"/>
    <mergeCell ref="T180:V180"/>
    <mergeCell ref="W180:Y180"/>
    <mergeCell ref="Z180:AB180"/>
    <mergeCell ref="AC180:AE180"/>
    <mergeCell ref="J177:M177"/>
    <mergeCell ref="N177:P177"/>
    <mergeCell ref="Q177:S177"/>
    <mergeCell ref="T177:V177"/>
    <mergeCell ref="W177:Y177"/>
    <mergeCell ref="Z177:AB177"/>
    <mergeCell ref="AC177:AE177"/>
    <mergeCell ref="T169:V169"/>
    <mergeCell ref="W169:Y169"/>
    <mergeCell ref="AC172:AE172"/>
    <mergeCell ref="W174:Y174"/>
    <mergeCell ref="Z174:AB174"/>
    <mergeCell ref="AC174:AE174"/>
    <mergeCell ref="J174:M174"/>
    <mergeCell ref="N174:P174"/>
    <mergeCell ref="Q174:S174"/>
    <mergeCell ref="T174:V174"/>
    <mergeCell ref="J173:M173"/>
    <mergeCell ref="Z172:AB172"/>
    <mergeCell ref="Z169:AB169"/>
    <mergeCell ref="AC169:AE169"/>
    <mergeCell ref="J170:M170"/>
    <mergeCell ref="N170:P170"/>
    <mergeCell ref="Q170:S170"/>
    <mergeCell ref="T170:V170"/>
    <mergeCell ref="W170:Y170"/>
    <mergeCell ref="Z170:AB170"/>
    <mergeCell ref="AC170:AE170"/>
    <mergeCell ref="N173:P173"/>
    <mergeCell ref="Z167:AB167"/>
    <mergeCell ref="AC167:AE167"/>
    <mergeCell ref="J168:M168"/>
    <mergeCell ref="N168:P168"/>
    <mergeCell ref="Q168:S168"/>
    <mergeCell ref="T168:V168"/>
    <mergeCell ref="W168:Y168"/>
    <mergeCell ref="Z168:AB168"/>
    <mergeCell ref="AC168:AE168"/>
    <mergeCell ref="J167:M167"/>
    <mergeCell ref="N167:P167"/>
    <mergeCell ref="Q167:S167"/>
    <mergeCell ref="T167:V167"/>
    <mergeCell ref="W167:Y167"/>
    <mergeCell ref="Z165:AB165"/>
    <mergeCell ref="AC165:AE165"/>
    <mergeCell ref="J166:M166"/>
    <mergeCell ref="N166:P166"/>
    <mergeCell ref="Q166:S166"/>
    <mergeCell ref="T166:V166"/>
    <mergeCell ref="W166:Y166"/>
    <mergeCell ref="Z166:AB166"/>
    <mergeCell ref="AC166:AE166"/>
    <mergeCell ref="J165:M165"/>
    <mergeCell ref="N165:P165"/>
    <mergeCell ref="Q165:S165"/>
    <mergeCell ref="T165:V165"/>
    <mergeCell ref="J161:M161"/>
    <mergeCell ref="N161:P161"/>
    <mergeCell ref="Q161:S161"/>
    <mergeCell ref="T161:V161"/>
    <mergeCell ref="W161:Y161"/>
    <mergeCell ref="Z161:AB161"/>
    <mergeCell ref="AC161:AE161"/>
    <mergeCell ref="J160:M160"/>
    <mergeCell ref="N160:P160"/>
    <mergeCell ref="Q160:S160"/>
    <mergeCell ref="T160:V160"/>
    <mergeCell ref="W160:Y160"/>
    <mergeCell ref="Z160:AB160"/>
    <mergeCell ref="AC160:AE160"/>
    <mergeCell ref="J148:M148"/>
    <mergeCell ref="N148:P148"/>
    <mergeCell ref="Q148:S148"/>
    <mergeCell ref="T148:V148"/>
    <mergeCell ref="W148:Y148"/>
    <mergeCell ref="Z158:AB158"/>
    <mergeCell ref="AC158:AE158"/>
    <mergeCell ref="J159:M159"/>
    <mergeCell ref="N159:P159"/>
    <mergeCell ref="Q159:S159"/>
    <mergeCell ref="T159:V159"/>
    <mergeCell ref="W159:Y159"/>
    <mergeCell ref="Z159:AB159"/>
    <mergeCell ref="AC159:AE159"/>
    <mergeCell ref="J158:M158"/>
    <mergeCell ref="N158:P158"/>
    <mergeCell ref="Q158:S158"/>
    <mergeCell ref="T158:V158"/>
    <mergeCell ref="J156:M156"/>
    <mergeCell ref="N156:P156"/>
    <mergeCell ref="Q156:S156"/>
    <mergeCell ref="T156:V156"/>
    <mergeCell ref="W156:Y156"/>
    <mergeCell ref="Z156:AB156"/>
    <mergeCell ref="Z157:AB157"/>
    <mergeCell ref="AC157:AE157"/>
    <mergeCell ref="AC156:AE156"/>
    <mergeCell ref="Z148:AB148"/>
    <mergeCell ref="AC148:AE148"/>
    <mergeCell ref="Z145:AB145"/>
    <mergeCell ref="AC145:AE145"/>
    <mergeCell ref="N145:P145"/>
    <mergeCell ref="Q145:S145"/>
    <mergeCell ref="T145:V145"/>
    <mergeCell ref="W145:Y145"/>
    <mergeCell ref="Z142:AB142"/>
    <mergeCell ref="AC142:AE142"/>
    <mergeCell ref="N143:P143"/>
    <mergeCell ref="Q143:S143"/>
    <mergeCell ref="T143:V143"/>
    <mergeCell ref="W143:Y143"/>
    <mergeCell ref="Z143:AB143"/>
    <mergeCell ref="AC143:AE143"/>
    <mergeCell ref="N142:P142"/>
    <mergeCell ref="Q142:S142"/>
    <mergeCell ref="T142:V142"/>
    <mergeCell ref="W142:Y142"/>
    <mergeCell ref="Z140:AB140"/>
    <mergeCell ref="AC140:AE140"/>
    <mergeCell ref="N141:P141"/>
    <mergeCell ref="Q141:S141"/>
    <mergeCell ref="T141:V141"/>
    <mergeCell ref="W141:Y141"/>
    <mergeCell ref="Z141:AB141"/>
    <mergeCell ref="AC141:AE141"/>
    <mergeCell ref="N140:P140"/>
    <mergeCell ref="Q140:S140"/>
    <mergeCell ref="T140:V140"/>
    <mergeCell ref="W140:Y140"/>
    <mergeCell ref="Z138:AB138"/>
    <mergeCell ref="AC138:AE138"/>
    <mergeCell ref="N139:P139"/>
    <mergeCell ref="Q139:S139"/>
    <mergeCell ref="T139:V139"/>
    <mergeCell ref="W139:Y139"/>
    <mergeCell ref="Z139:AB139"/>
    <mergeCell ref="AC139:AE139"/>
    <mergeCell ref="N138:P138"/>
    <mergeCell ref="Q138:S138"/>
    <mergeCell ref="T138:V138"/>
    <mergeCell ref="W138:Y138"/>
    <mergeCell ref="AC136:AE136"/>
    <mergeCell ref="N137:P137"/>
    <mergeCell ref="Q137:S137"/>
    <mergeCell ref="T137:V137"/>
    <mergeCell ref="W137:Y137"/>
    <mergeCell ref="Z137:AB137"/>
    <mergeCell ref="AC137:AE137"/>
    <mergeCell ref="N136:P136"/>
    <mergeCell ref="Q136:S136"/>
    <mergeCell ref="T136:V136"/>
    <mergeCell ref="W136:Y136"/>
    <mergeCell ref="Z136:AB136"/>
    <mergeCell ref="AC132:AE132"/>
    <mergeCell ref="N135:P135"/>
    <mergeCell ref="Q135:S135"/>
    <mergeCell ref="T135:V135"/>
    <mergeCell ref="W135:Y135"/>
    <mergeCell ref="Z135:AB135"/>
    <mergeCell ref="AC135:AE135"/>
    <mergeCell ref="N132:P132"/>
    <mergeCell ref="Q132:S132"/>
    <mergeCell ref="T132:V132"/>
    <mergeCell ref="W132:Y132"/>
    <mergeCell ref="W134:Y134"/>
    <mergeCell ref="Z134:AB134"/>
    <mergeCell ref="AC134:AE134"/>
    <mergeCell ref="T134:V134"/>
    <mergeCell ref="Z132:AB132"/>
    <mergeCell ref="AC129:AE129"/>
    <mergeCell ref="Z130:AB130"/>
    <mergeCell ref="AC130:AE130"/>
    <mergeCell ref="W128:Y128"/>
    <mergeCell ref="Z128:AB128"/>
    <mergeCell ref="AC128:AE128"/>
    <mergeCell ref="N131:P131"/>
    <mergeCell ref="Q131:S131"/>
    <mergeCell ref="T131:V131"/>
    <mergeCell ref="W131:Y131"/>
    <mergeCell ref="Z131:AB131"/>
    <mergeCell ref="AC131:AE131"/>
    <mergeCell ref="N130:P130"/>
    <mergeCell ref="Q130:S130"/>
    <mergeCell ref="T130:V130"/>
    <mergeCell ref="W130:Y130"/>
    <mergeCell ref="AC126:AE126"/>
    <mergeCell ref="N124:P124"/>
    <mergeCell ref="Q124:S124"/>
    <mergeCell ref="T124:V124"/>
    <mergeCell ref="W124:Y124"/>
    <mergeCell ref="Z124:AB124"/>
    <mergeCell ref="Z122:AB122"/>
    <mergeCell ref="AC122:AE122"/>
    <mergeCell ref="N123:P123"/>
    <mergeCell ref="Q123:S123"/>
    <mergeCell ref="T123:V123"/>
    <mergeCell ref="W123:Y123"/>
    <mergeCell ref="Z123:AB123"/>
    <mergeCell ref="AC123:AE123"/>
    <mergeCell ref="N122:P122"/>
    <mergeCell ref="Q122:S122"/>
    <mergeCell ref="T122:V122"/>
    <mergeCell ref="W122:Y122"/>
    <mergeCell ref="AC120:AE120"/>
    <mergeCell ref="W119:Y119"/>
    <mergeCell ref="Z121:AB121"/>
    <mergeCell ref="AC121:AE121"/>
    <mergeCell ref="N120:P120"/>
    <mergeCell ref="Q120:S120"/>
    <mergeCell ref="T120:V120"/>
    <mergeCell ref="W120:Y120"/>
    <mergeCell ref="AC124:AE124"/>
    <mergeCell ref="W112:Y112"/>
    <mergeCell ref="N46:P46"/>
    <mergeCell ref="Q46:S46"/>
    <mergeCell ref="T46:V46"/>
    <mergeCell ref="W46:Y46"/>
    <mergeCell ref="Z46:AB46"/>
    <mergeCell ref="AC46:AE46"/>
    <mergeCell ref="AC85:AE85"/>
    <mergeCell ref="N109:P109"/>
    <mergeCell ref="Q109:S109"/>
    <mergeCell ref="T109:V109"/>
    <mergeCell ref="W109:Y109"/>
    <mergeCell ref="Z109:AB109"/>
    <mergeCell ref="AC109:AE109"/>
    <mergeCell ref="N110:P110"/>
    <mergeCell ref="Q110:S110"/>
    <mergeCell ref="T110:V110"/>
    <mergeCell ref="W110:Y110"/>
    <mergeCell ref="Z110:AB110"/>
    <mergeCell ref="AC111:AE111"/>
    <mergeCell ref="J4:M4"/>
    <mergeCell ref="N4:P4"/>
    <mergeCell ref="Q4:S4"/>
    <mergeCell ref="T4:V4"/>
    <mergeCell ref="J72:M72"/>
    <mergeCell ref="N72:P72"/>
    <mergeCell ref="Q72:S72"/>
    <mergeCell ref="T72:V72"/>
    <mergeCell ref="Z111:AB111"/>
    <mergeCell ref="J46:M46"/>
    <mergeCell ref="J67:M67"/>
    <mergeCell ref="N67:P67"/>
    <mergeCell ref="Q67:S67"/>
    <mergeCell ref="T67:V67"/>
    <mergeCell ref="W67:Y67"/>
    <mergeCell ref="Z67:AB67"/>
    <mergeCell ref="J85:M85"/>
    <mergeCell ref="N85:P85"/>
    <mergeCell ref="Q85:S85"/>
    <mergeCell ref="T85:V85"/>
    <mergeCell ref="W85:Y85"/>
    <mergeCell ref="Z85:AB85"/>
    <mergeCell ref="W72:Y72"/>
    <mergeCell ref="Z72:AB72"/>
    <mergeCell ref="J207:K207"/>
    <mergeCell ref="W4:Y4"/>
    <mergeCell ref="Z4:AB4"/>
    <mergeCell ref="AC4:AE4"/>
    <mergeCell ref="AC9:AE9"/>
    <mergeCell ref="Q9:S9"/>
    <mergeCell ref="T9:V9"/>
    <mergeCell ref="W9:Y9"/>
    <mergeCell ref="AC6:AE6"/>
    <mergeCell ref="Z9:AB9"/>
    <mergeCell ref="AC5:AE5"/>
    <mergeCell ref="N113:P113"/>
    <mergeCell ref="Q113:S113"/>
    <mergeCell ref="T113:V113"/>
    <mergeCell ref="W113:Y113"/>
    <mergeCell ref="Z15:AB15"/>
    <mergeCell ref="Q111:S111"/>
    <mergeCell ref="T111:V111"/>
    <mergeCell ref="J5:M5"/>
    <mergeCell ref="N5:P5"/>
    <mergeCell ref="Q5:S5"/>
    <mergeCell ref="T5:V5"/>
    <mergeCell ref="W5:Y5"/>
    <mergeCell ref="Z5:AB5"/>
    <mergeCell ref="L210:M210"/>
    <mergeCell ref="O209:P209"/>
    <mergeCell ref="O210:P210"/>
    <mergeCell ref="AC110:AE110"/>
    <mergeCell ref="N111:P111"/>
    <mergeCell ref="Z116:AB116"/>
    <mergeCell ref="AC15:AE15"/>
    <mergeCell ref="Z112:AB112"/>
    <mergeCell ref="AC112:AE112"/>
    <mergeCell ref="Z113:AB113"/>
    <mergeCell ref="B65:N65"/>
    <mergeCell ref="AC67:AE67"/>
    <mergeCell ref="AC72:AE72"/>
    <mergeCell ref="J109:M109"/>
    <mergeCell ref="J42:M42"/>
    <mergeCell ref="N42:P42"/>
    <mergeCell ref="Q42:S42"/>
    <mergeCell ref="T42:V42"/>
    <mergeCell ref="W42:Y42"/>
    <mergeCell ref="Z42:AB42"/>
    <mergeCell ref="AC113:AE113"/>
    <mergeCell ref="N112:P112"/>
    <mergeCell ref="Q112:S112"/>
    <mergeCell ref="T112:V112"/>
    <mergeCell ref="Z6:AB6"/>
    <mergeCell ref="B13:AE13"/>
    <mergeCell ref="B7:AE7"/>
    <mergeCell ref="AC42:AE42"/>
    <mergeCell ref="N6:P6"/>
    <mergeCell ref="Q6:S6"/>
    <mergeCell ref="W111:Y111"/>
    <mergeCell ref="J15:M15"/>
    <mergeCell ref="N15:P15"/>
    <mergeCell ref="Q15:S15"/>
    <mergeCell ref="T15:V15"/>
    <mergeCell ref="W15:Y15"/>
    <mergeCell ref="J6:M6"/>
    <mergeCell ref="T6:V6"/>
    <mergeCell ref="J9:M9"/>
    <mergeCell ref="N9:P9"/>
    <mergeCell ref="W6:Y6"/>
    <mergeCell ref="F85:I85"/>
    <mergeCell ref="F109:I109"/>
    <mergeCell ref="J128:M128"/>
    <mergeCell ref="N128:P128"/>
    <mergeCell ref="Q128:S128"/>
    <mergeCell ref="T128:V128"/>
    <mergeCell ref="N114:P114"/>
    <mergeCell ref="Q114:S114"/>
    <mergeCell ref="N115:P115"/>
    <mergeCell ref="Q115:S115"/>
    <mergeCell ref="T115:V115"/>
    <mergeCell ref="T114:V114"/>
    <mergeCell ref="Q119:S119"/>
    <mergeCell ref="T119:V119"/>
    <mergeCell ref="N121:P121"/>
    <mergeCell ref="Q121:S121"/>
    <mergeCell ref="T121:V121"/>
    <mergeCell ref="T116:V116"/>
    <mergeCell ref="N119:P119"/>
    <mergeCell ref="N118:P118"/>
    <mergeCell ref="Q118:S118"/>
    <mergeCell ref="T118:V118"/>
    <mergeCell ref="N126:P126"/>
    <mergeCell ref="Q126:S126"/>
    <mergeCell ref="T126:V126"/>
    <mergeCell ref="AC114:AE114"/>
    <mergeCell ref="AC115:AE115"/>
    <mergeCell ref="N133:P133"/>
    <mergeCell ref="Q133:S133"/>
    <mergeCell ref="T133:V133"/>
    <mergeCell ref="W133:Y133"/>
    <mergeCell ref="Z133:AB133"/>
    <mergeCell ref="AC133:AE133"/>
    <mergeCell ref="AC116:AE116"/>
    <mergeCell ref="N117:P117"/>
    <mergeCell ref="Q117:S117"/>
    <mergeCell ref="T117:V117"/>
    <mergeCell ref="W117:Y117"/>
    <mergeCell ref="Z117:AB117"/>
    <mergeCell ref="AC117:AE117"/>
    <mergeCell ref="N116:P116"/>
    <mergeCell ref="Q116:S116"/>
    <mergeCell ref="W114:Y114"/>
    <mergeCell ref="W116:Y116"/>
    <mergeCell ref="Z119:AB119"/>
    <mergeCell ref="AC119:AE119"/>
    <mergeCell ref="W118:Y118"/>
    <mergeCell ref="Z118:AB118"/>
    <mergeCell ref="AC118:AE118"/>
    <mergeCell ref="L213:M213"/>
    <mergeCell ref="J211:K211"/>
    <mergeCell ref="J212:K212"/>
    <mergeCell ref="J213:K213"/>
    <mergeCell ref="J157:M157"/>
    <mergeCell ref="N157:P157"/>
    <mergeCell ref="Q157:S157"/>
    <mergeCell ref="T157:V157"/>
    <mergeCell ref="W157:Y157"/>
    <mergeCell ref="L207:M207"/>
    <mergeCell ref="J208:K208"/>
    <mergeCell ref="J209:K209"/>
    <mergeCell ref="J210:K210"/>
    <mergeCell ref="Q209:S209"/>
    <mergeCell ref="L208:M208"/>
    <mergeCell ref="O211:P211"/>
    <mergeCell ref="O212:P212"/>
    <mergeCell ref="Q211:S211"/>
    <mergeCell ref="O207:P207"/>
    <mergeCell ref="O208:P208"/>
    <mergeCell ref="L211:M211"/>
    <mergeCell ref="L212:M212"/>
    <mergeCell ref="O213:P213"/>
    <mergeCell ref="L209:M209"/>
    <mergeCell ref="C2:K2"/>
    <mergeCell ref="Z114:AB114"/>
    <mergeCell ref="Z115:AB115"/>
    <mergeCell ref="Q207:S207"/>
    <mergeCell ref="N193:P193"/>
    <mergeCell ref="Q193:S193"/>
    <mergeCell ref="T129:V129"/>
    <mergeCell ref="W129:Y129"/>
    <mergeCell ref="W158:Y158"/>
    <mergeCell ref="W165:Y165"/>
    <mergeCell ref="Q172:S172"/>
    <mergeCell ref="T172:V172"/>
    <mergeCell ref="W172:Y172"/>
    <mergeCell ref="W184:Y184"/>
    <mergeCell ref="W121:Y121"/>
    <mergeCell ref="N129:P129"/>
    <mergeCell ref="Q129:S129"/>
    <mergeCell ref="W115:Y115"/>
    <mergeCell ref="N134:P134"/>
    <mergeCell ref="Q134:S134"/>
    <mergeCell ref="Z120:AB120"/>
    <mergeCell ref="W126:Y126"/>
    <mergeCell ref="Z126:AB126"/>
    <mergeCell ref="Z129:AB129"/>
  </mergeCells>
  <conditionalFormatting sqref="B198">
    <cfRule type="expression" dxfId="4" priority="662" stopIfTrue="1">
      <formula>AND(NE(#REF!,"#"),NE(D199,""),NE(COUNTA(#REF!),0))</formula>
    </cfRule>
  </conditionalFormatting>
  <conditionalFormatting sqref="B199:C199">
    <cfRule type="expression" dxfId="3" priority="661" stopIfTrue="1">
      <formula>AND(NE(#REF!,"#"),NE(#REF!,""),NE(COUNTA(#REF!),0))</formula>
    </cfRule>
  </conditionalFormatting>
  <conditionalFormatting sqref="C198">
    <cfRule type="expression" dxfId="2" priority="792" stopIfTrue="1">
      <formula>AND(NE(#REF!,"#"),NE(J199,""),NE(COUNTA(#REF!),0))</formula>
    </cfRule>
  </conditionalFormatting>
  <pageMargins left="0.25" right="0.25" top="0.75" bottom="0.75" header="0.3" footer="0.3"/>
  <pageSetup paperSize="8" scale="10" orientation="portrait" r:id="rId1"/>
  <ignoredErrors>
    <ignoredError sqref="J186 J183 N183:N184 N186 N180 T180 Q180 W180 Z180 AC180 J177:AE177 M153 J5:AE5 N34"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0FF2B-40B0-4EF3-B6AC-787E3B632CA1}">
  <sheetPr codeName="Sheet4">
    <tabColor theme="9" tint="0.79998168889431442"/>
    <pageSetUpPr fitToPage="1"/>
  </sheetPr>
  <dimension ref="B1:AI193"/>
  <sheetViews>
    <sheetView showGridLines="0" zoomScale="70" zoomScaleNormal="70" workbookViewId="0">
      <selection activeCell="I31" sqref="I31"/>
    </sheetView>
  </sheetViews>
  <sheetFormatPr defaultColWidth="8.5703125" defaultRowHeight="15" x14ac:dyDescent="0.2"/>
  <cols>
    <col min="1" max="1" width="4.42578125" style="37" customWidth="1"/>
    <col min="2" max="2" width="67.5703125" style="37" customWidth="1"/>
    <col min="3" max="3" width="15.42578125" style="37" customWidth="1"/>
    <col min="4" max="4" width="10.42578125" style="37" customWidth="1"/>
    <col min="5" max="5" width="7.42578125" style="37" customWidth="1"/>
    <col min="6" max="7" width="16.5703125" style="450" bestFit="1" customWidth="1"/>
    <col min="8" max="8" width="12.5703125" style="450" customWidth="1"/>
    <col min="9" max="9" width="19.42578125" style="450" customWidth="1"/>
    <col min="10" max="11" width="16.5703125" style="450" bestFit="1" customWidth="1"/>
    <col min="12" max="12" width="12.5703125" style="450" customWidth="1"/>
    <col min="13" max="13" width="19.42578125" style="450" customWidth="1"/>
    <col min="14" max="15" width="15.42578125" style="29" customWidth="1"/>
    <col min="16" max="16" width="15.42578125" style="41" customWidth="1"/>
    <col min="17" max="34" width="15.42578125" style="29" customWidth="1"/>
    <col min="35" max="35" width="15.5703125" style="48" customWidth="1"/>
    <col min="36" max="16384" width="8.5703125" style="37"/>
  </cols>
  <sheetData>
    <row r="1" spans="2:35" ht="24.6" customHeight="1" x14ac:dyDescent="0.2"/>
    <row r="2" spans="2:35" ht="81" customHeight="1" x14ac:dyDescent="0.2">
      <c r="B2" s="682" t="s">
        <v>195</v>
      </c>
      <c r="C2" s="343"/>
      <c r="D2" s="277"/>
      <c r="E2" s="277"/>
      <c r="F2" s="343"/>
      <c r="G2" s="343"/>
      <c r="H2" s="343"/>
      <c r="I2" s="343"/>
      <c r="J2" s="709"/>
      <c r="K2" s="709"/>
      <c r="L2" s="709"/>
      <c r="M2" s="709"/>
      <c r="N2" s="277"/>
      <c r="O2" s="277"/>
      <c r="P2" s="277"/>
      <c r="Q2" s="277"/>
      <c r="R2" s="277"/>
      <c r="S2" s="277"/>
      <c r="T2" s="277"/>
      <c r="U2" s="277"/>
      <c r="V2" s="277"/>
      <c r="W2" s="277"/>
      <c r="X2" s="277"/>
      <c r="Y2" s="277"/>
      <c r="Z2" s="277"/>
      <c r="AA2" s="277"/>
      <c r="AB2" s="277"/>
      <c r="AC2" s="277"/>
      <c r="AD2" s="277"/>
      <c r="AE2" s="277"/>
      <c r="AF2" s="277"/>
      <c r="AG2" s="277"/>
      <c r="AH2" s="277"/>
      <c r="AI2" s="278"/>
    </row>
    <row r="3" spans="2:35" ht="25.5" customHeight="1" x14ac:dyDescent="0.2">
      <c r="B3" s="51"/>
      <c r="C3" s="51"/>
    </row>
    <row r="4" spans="2:35" ht="26.85" customHeight="1" x14ac:dyDescent="0.2">
      <c r="B4" s="6" t="s">
        <v>94</v>
      </c>
      <c r="C4" s="6"/>
      <c r="D4" s="7" t="s">
        <v>9</v>
      </c>
      <c r="E4" s="7"/>
      <c r="F4" s="930" t="s">
        <v>10</v>
      </c>
      <c r="G4" s="930"/>
      <c r="H4" s="930"/>
      <c r="I4" s="930"/>
      <c r="J4" s="930" t="s">
        <v>11</v>
      </c>
      <c r="K4" s="930"/>
      <c r="L4" s="930"/>
      <c r="M4" s="930"/>
      <c r="N4" s="920" t="s">
        <v>12</v>
      </c>
      <c r="O4" s="920"/>
      <c r="P4" s="920"/>
      <c r="Q4" s="920" t="s">
        <v>13</v>
      </c>
      <c r="R4" s="920"/>
      <c r="S4" s="920"/>
      <c r="T4" s="920" t="s">
        <v>14</v>
      </c>
      <c r="U4" s="920"/>
      <c r="V4" s="920"/>
      <c r="W4" s="920" t="s">
        <v>15</v>
      </c>
      <c r="X4" s="920"/>
      <c r="Y4" s="920"/>
      <c r="Z4" s="920" t="s">
        <v>16</v>
      </c>
      <c r="AA4" s="920"/>
      <c r="AB4" s="920"/>
      <c r="AC4" s="920" t="s">
        <v>17</v>
      </c>
      <c r="AD4" s="920"/>
      <c r="AE4" s="920"/>
      <c r="AF4" s="920" t="s">
        <v>18</v>
      </c>
      <c r="AG4" s="920"/>
      <c r="AH4" s="920"/>
      <c r="AI4" s="50"/>
    </row>
    <row r="5" spans="2:35" ht="26.85" customHeight="1" x14ac:dyDescent="0.25">
      <c r="B5" s="180" t="s">
        <v>95</v>
      </c>
      <c r="C5" s="198"/>
      <c r="D5" s="180" t="s">
        <v>25</v>
      </c>
      <c r="E5" s="180"/>
      <c r="F5" s="946">
        <v>3109</v>
      </c>
      <c r="G5" s="946"/>
      <c r="H5" s="946"/>
      <c r="I5" s="946"/>
      <c r="J5" s="941">
        <v>3039</v>
      </c>
      <c r="K5" s="941"/>
      <c r="L5" s="941"/>
      <c r="M5" s="941"/>
      <c r="N5" s="935">
        <v>2909</v>
      </c>
      <c r="O5" s="935"/>
      <c r="P5" s="935"/>
      <c r="Q5" s="935">
        <v>2836</v>
      </c>
      <c r="R5" s="935"/>
      <c r="S5" s="935"/>
      <c r="T5" s="935">
        <v>2750</v>
      </c>
      <c r="U5" s="935"/>
      <c r="V5" s="935"/>
      <c r="W5" s="935">
        <v>3052</v>
      </c>
      <c r="X5" s="935"/>
      <c r="Y5" s="935"/>
      <c r="Z5" s="935">
        <v>3493</v>
      </c>
      <c r="AA5" s="935"/>
      <c r="AB5" s="935"/>
      <c r="AC5" s="935">
        <v>3716</v>
      </c>
      <c r="AD5" s="935"/>
      <c r="AE5" s="935"/>
      <c r="AF5" s="935">
        <v>3841</v>
      </c>
      <c r="AG5" s="935"/>
      <c r="AH5" s="935"/>
      <c r="AI5" s="50"/>
    </row>
    <row r="6" spans="2:35" ht="26.85" customHeight="1" x14ac:dyDescent="0.25">
      <c r="B6" s="193" t="s">
        <v>96</v>
      </c>
      <c r="C6" s="195"/>
      <c r="D6" s="180" t="s">
        <v>25</v>
      </c>
      <c r="E6" s="180"/>
      <c r="F6" s="976">
        <v>3086.08</v>
      </c>
      <c r="G6" s="976"/>
      <c r="H6" s="976"/>
      <c r="I6" s="976"/>
      <c r="J6" s="962">
        <v>3017.3</v>
      </c>
      <c r="K6" s="962"/>
      <c r="L6" s="962"/>
      <c r="M6" s="962"/>
      <c r="N6" s="931" t="s">
        <v>23</v>
      </c>
      <c r="O6" s="931"/>
      <c r="P6" s="931"/>
      <c r="Q6" s="931" t="s">
        <v>23</v>
      </c>
      <c r="R6" s="931"/>
      <c r="S6" s="931"/>
      <c r="T6" s="931" t="s">
        <v>23</v>
      </c>
      <c r="U6" s="931"/>
      <c r="V6" s="931"/>
      <c r="W6" s="931" t="s">
        <v>23</v>
      </c>
      <c r="X6" s="931"/>
      <c r="Y6" s="931"/>
      <c r="Z6" s="931" t="s">
        <v>23</v>
      </c>
      <c r="AA6" s="931"/>
      <c r="AB6" s="931"/>
      <c r="AC6" s="931" t="s">
        <v>23</v>
      </c>
      <c r="AD6" s="931"/>
      <c r="AE6" s="931"/>
      <c r="AF6" s="931" t="s">
        <v>23</v>
      </c>
      <c r="AG6" s="931"/>
      <c r="AH6" s="931"/>
      <c r="AI6" s="50"/>
    </row>
    <row r="7" spans="2:35" ht="26.85" customHeight="1" x14ac:dyDescent="0.2">
      <c r="B7" s="934" t="s">
        <v>196</v>
      </c>
      <c r="C7" s="934"/>
      <c r="D7" s="934"/>
      <c r="E7" s="934"/>
      <c r="F7" s="934"/>
      <c r="G7" s="934"/>
      <c r="H7" s="934"/>
      <c r="I7" s="934"/>
      <c r="J7" s="934"/>
      <c r="K7" s="934"/>
      <c r="L7" s="934"/>
      <c r="M7" s="934"/>
      <c r="N7" s="934"/>
      <c r="O7" s="934"/>
      <c r="P7" s="934"/>
      <c r="Q7" s="30"/>
      <c r="R7" s="30"/>
      <c r="S7" s="20"/>
      <c r="T7" s="20"/>
      <c r="U7" s="20"/>
      <c r="V7" s="20"/>
      <c r="W7" s="20"/>
      <c r="X7" s="20"/>
      <c r="Y7" s="20"/>
      <c r="Z7" s="20"/>
      <c r="AA7" s="20"/>
      <c r="AB7" s="20"/>
      <c r="AC7" s="20"/>
      <c r="AD7" s="533"/>
      <c r="AE7" s="533"/>
      <c r="AF7" s="533"/>
      <c r="AG7" s="533"/>
      <c r="AH7" s="533"/>
      <c r="AI7" s="50"/>
    </row>
    <row r="8" spans="2:35" ht="50.1" customHeight="1" x14ac:dyDescent="0.2">
      <c r="B8" s="66"/>
      <c r="C8" s="66"/>
      <c r="D8" s="25"/>
      <c r="E8" s="25"/>
      <c r="F8" s="78"/>
      <c r="G8" s="78"/>
      <c r="H8" s="78"/>
      <c r="I8" s="78"/>
      <c r="J8" s="78"/>
      <c r="K8" s="78"/>
      <c r="L8" s="78"/>
      <c r="M8" s="78"/>
      <c r="N8" s="30"/>
      <c r="O8" s="30"/>
      <c r="P8" s="30"/>
      <c r="Q8" s="30"/>
      <c r="R8" s="30"/>
      <c r="S8" s="20"/>
      <c r="T8" s="20"/>
      <c r="U8" s="20"/>
      <c r="V8" s="20"/>
      <c r="W8" s="20"/>
      <c r="X8" s="20"/>
      <c r="Y8" s="20"/>
      <c r="Z8" s="20"/>
      <c r="AA8" s="20"/>
      <c r="AB8" s="20"/>
      <c r="AC8" s="20"/>
      <c r="AD8" s="20"/>
      <c r="AE8" s="955"/>
      <c r="AF8" s="955"/>
      <c r="AG8" s="955"/>
      <c r="AH8" s="20"/>
      <c r="AI8" s="50"/>
    </row>
    <row r="9" spans="2:35" ht="26.85" customHeight="1" x14ac:dyDescent="0.2">
      <c r="B9" s="6" t="s">
        <v>98</v>
      </c>
      <c r="C9" s="6"/>
      <c r="D9" s="7" t="s">
        <v>9</v>
      </c>
      <c r="E9" s="7"/>
      <c r="F9" s="930" t="s">
        <v>10</v>
      </c>
      <c r="G9" s="930"/>
      <c r="H9" s="930"/>
      <c r="I9" s="930"/>
      <c r="J9" s="930" t="s">
        <v>11</v>
      </c>
      <c r="K9" s="930"/>
      <c r="L9" s="930"/>
      <c r="M9" s="930"/>
      <c r="N9" s="920" t="s">
        <v>12</v>
      </c>
      <c r="O9" s="920"/>
      <c r="P9" s="920"/>
      <c r="Q9" s="920" t="s">
        <v>13</v>
      </c>
      <c r="R9" s="920"/>
      <c r="S9" s="920"/>
      <c r="T9" s="920" t="s">
        <v>14</v>
      </c>
      <c r="U9" s="920"/>
      <c r="V9" s="920"/>
      <c r="W9" s="920" t="s">
        <v>15</v>
      </c>
      <c r="X9" s="920"/>
      <c r="Y9" s="920"/>
      <c r="Z9" s="920" t="s">
        <v>16</v>
      </c>
      <c r="AA9" s="920"/>
      <c r="AB9" s="920"/>
      <c r="AC9" s="920" t="s">
        <v>17</v>
      </c>
      <c r="AD9" s="920"/>
      <c r="AE9" s="920"/>
      <c r="AF9" s="920" t="s">
        <v>18</v>
      </c>
      <c r="AG9" s="920"/>
      <c r="AH9" s="920"/>
      <c r="AI9" s="26"/>
    </row>
    <row r="10" spans="2:35" ht="26.85" customHeight="1" x14ac:dyDescent="0.25">
      <c r="B10" s="316"/>
      <c r="C10" s="316"/>
      <c r="D10" s="317"/>
      <c r="E10" s="317"/>
      <c r="F10" s="182" t="s">
        <v>99</v>
      </c>
      <c r="G10" s="182" t="s">
        <v>100</v>
      </c>
      <c r="H10" s="532" t="s">
        <v>101</v>
      </c>
      <c r="I10" s="182" t="s">
        <v>102</v>
      </c>
      <c r="J10" s="452" t="s">
        <v>99</v>
      </c>
      <c r="K10" s="452" t="s">
        <v>100</v>
      </c>
      <c r="L10" s="690" t="s">
        <v>101</v>
      </c>
      <c r="M10" s="452" t="s">
        <v>102</v>
      </c>
      <c r="N10" s="183" t="s">
        <v>99</v>
      </c>
      <c r="O10" s="183" t="s">
        <v>100</v>
      </c>
      <c r="P10" s="183" t="s">
        <v>102</v>
      </c>
      <c r="Q10" s="183" t="s">
        <v>99</v>
      </c>
      <c r="R10" s="183" t="s">
        <v>100</v>
      </c>
      <c r="S10" s="183" t="s">
        <v>102</v>
      </c>
      <c r="T10" s="183" t="s">
        <v>99</v>
      </c>
      <c r="U10" s="183" t="s">
        <v>100</v>
      </c>
      <c r="V10" s="202" t="s">
        <v>102</v>
      </c>
      <c r="W10" s="183" t="s">
        <v>99</v>
      </c>
      <c r="X10" s="183" t="s">
        <v>100</v>
      </c>
      <c r="Y10" s="202" t="s">
        <v>102</v>
      </c>
      <c r="Z10" s="183" t="s">
        <v>99</v>
      </c>
      <c r="AA10" s="183" t="s">
        <v>100</v>
      </c>
      <c r="AB10" s="202" t="s">
        <v>102</v>
      </c>
      <c r="AC10" s="183" t="s">
        <v>99</v>
      </c>
      <c r="AD10" s="183" t="s">
        <v>100</v>
      </c>
      <c r="AE10" s="183" t="s">
        <v>102</v>
      </c>
      <c r="AF10" s="183" t="s">
        <v>99</v>
      </c>
      <c r="AG10" s="183" t="s">
        <v>100</v>
      </c>
      <c r="AH10" s="183" t="s">
        <v>102</v>
      </c>
      <c r="AI10" s="179"/>
    </row>
    <row r="11" spans="2:35" ht="26.85" customHeight="1" x14ac:dyDescent="0.25">
      <c r="B11" s="180" t="s">
        <v>103</v>
      </c>
      <c r="C11" s="180"/>
      <c r="D11" s="180" t="s">
        <v>25</v>
      </c>
      <c r="E11" s="180"/>
      <c r="F11" s="757">
        <v>608</v>
      </c>
      <c r="G11" s="757">
        <v>2495</v>
      </c>
      <c r="H11" s="757">
        <v>6</v>
      </c>
      <c r="I11" s="756">
        <v>3109</v>
      </c>
      <c r="J11" s="717">
        <v>566</v>
      </c>
      <c r="K11" s="717">
        <v>2467</v>
      </c>
      <c r="L11" s="717">
        <v>6</v>
      </c>
      <c r="M11" s="700">
        <f>SUM(J11:L11)</f>
        <v>3039</v>
      </c>
      <c r="N11" s="191">
        <v>512</v>
      </c>
      <c r="O11" s="220">
        <v>2397</v>
      </c>
      <c r="P11" s="220">
        <f>SUM(N11:O11)</f>
        <v>2909</v>
      </c>
      <c r="Q11" s="373">
        <v>469</v>
      </c>
      <c r="R11" s="385">
        <v>2323</v>
      </c>
      <c r="S11" s="385">
        <f>SUM(Q11:R11)</f>
        <v>2792</v>
      </c>
      <c r="T11" s="374">
        <v>429</v>
      </c>
      <c r="U11" s="385">
        <v>2275</v>
      </c>
      <c r="V11" s="374">
        <f>SUM(T11:U11)</f>
        <v>2704</v>
      </c>
      <c r="W11" s="374">
        <v>485</v>
      </c>
      <c r="X11" s="374">
        <v>2416</v>
      </c>
      <c r="Y11" s="374">
        <f>SUM(W11:X11)</f>
        <v>2901</v>
      </c>
      <c r="Z11" s="374">
        <v>523</v>
      </c>
      <c r="AA11" s="374">
        <v>2760</v>
      </c>
      <c r="AB11" s="374">
        <f>SUM(Z11:AA11)</f>
        <v>3283</v>
      </c>
      <c r="AC11" s="192">
        <v>539</v>
      </c>
      <c r="AD11" s="192">
        <v>2927</v>
      </c>
      <c r="AE11" s="192">
        <f>SUM(AC11:AD11)</f>
        <v>3466</v>
      </c>
      <c r="AF11" s="192">
        <v>602</v>
      </c>
      <c r="AG11" s="192">
        <v>3050</v>
      </c>
      <c r="AH11" s="192">
        <f>SUM(AF11:AG11)</f>
        <v>3652</v>
      </c>
      <c r="AI11" s="59"/>
    </row>
    <row r="12" spans="2:35" ht="26.85" customHeight="1" x14ac:dyDescent="0.25">
      <c r="B12" s="180" t="s">
        <v>104</v>
      </c>
      <c r="C12" s="180"/>
      <c r="D12" s="180" t="s">
        <v>31</v>
      </c>
      <c r="E12" s="180"/>
      <c r="F12" s="752">
        <v>0.19556127372145385</v>
      </c>
      <c r="G12" s="752">
        <v>0.80250884528787392</v>
      </c>
      <c r="H12" s="752">
        <v>1.9298809906722419E-3</v>
      </c>
      <c r="I12" s="504">
        <v>1</v>
      </c>
      <c r="J12" s="708">
        <f>J11/M11</f>
        <v>0.18624547548535703</v>
      </c>
      <c r="K12" s="708">
        <f>K11/M11</f>
        <v>0.81178019085225406</v>
      </c>
      <c r="L12" s="708">
        <f>L11/M11</f>
        <v>1.9743336623889436E-3</v>
      </c>
      <c r="M12" s="718">
        <f>SUM(J12:L12)</f>
        <v>1</v>
      </c>
      <c r="N12" s="208">
        <f>N11/P11</f>
        <v>0.17600550017188038</v>
      </c>
      <c r="O12" s="208">
        <f>O11/P11</f>
        <v>0.82399449982811968</v>
      </c>
      <c r="P12" s="376">
        <f>SUM(N12:O12)</f>
        <v>1</v>
      </c>
      <c r="Q12" s="386">
        <f>Q11/S11</f>
        <v>0.16797994269340974</v>
      </c>
      <c r="R12" s="386">
        <f>R11/S11</f>
        <v>0.83202005730659023</v>
      </c>
      <c r="S12" s="376">
        <f>SUM(Q12:R12)</f>
        <v>1</v>
      </c>
      <c r="T12" s="222">
        <f>T11/V11</f>
        <v>0.15865384615384615</v>
      </c>
      <c r="U12" s="222">
        <f>U11/V11</f>
        <v>0.84134615384615385</v>
      </c>
      <c r="V12" s="376">
        <f>SUM(T12:U12)</f>
        <v>1</v>
      </c>
      <c r="W12" s="222">
        <f>W11/Y11</f>
        <v>0.16718372974836263</v>
      </c>
      <c r="X12" s="222">
        <f>X11/Y11</f>
        <v>0.8328162702516374</v>
      </c>
      <c r="Y12" s="376">
        <f>SUM(W12:X12)</f>
        <v>1</v>
      </c>
      <c r="Z12" s="222">
        <f>Z11/AB11</f>
        <v>0.15930551325007614</v>
      </c>
      <c r="AA12" s="222">
        <f>AA11/AB11</f>
        <v>0.84069448674992386</v>
      </c>
      <c r="AB12" s="376">
        <f>SUM(Z12:AA12)</f>
        <v>1</v>
      </c>
      <c r="AC12" s="381">
        <f>AC11/AE11</f>
        <v>0.15551067512983266</v>
      </c>
      <c r="AD12" s="381">
        <f>AD11/AE11</f>
        <v>0.84448932487016737</v>
      </c>
      <c r="AE12" s="376">
        <f>SUM(AC12:AD12)</f>
        <v>1</v>
      </c>
      <c r="AF12" s="222">
        <f>AF11/AH11</f>
        <v>0.16484118291347208</v>
      </c>
      <c r="AG12" s="381">
        <f>AG11/AH11</f>
        <v>0.83515881708652795</v>
      </c>
      <c r="AH12" s="376">
        <f>SUM(AF12:AG12)</f>
        <v>1</v>
      </c>
      <c r="AI12" s="60"/>
    </row>
    <row r="13" spans="2:35" ht="26.85" customHeight="1" x14ac:dyDescent="0.2">
      <c r="B13" s="368" t="s">
        <v>105</v>
      </c>
      <c r="C13" s="368"/>
      <c r="D13" s="10"/>
      <c r="E13" s="10"/>
      <c r="F13" s="43"/>
      <c r="G13" s="43"/>
      <c r="H13" s="43"/>
      <c r="I13" s="332"/>
      <c r="J13" s="44"/>
      <c r="K13" s="44"/>
      <c r="L13" s="44"/>
      <c r="M13" s="449"/>
      <c r="N13" s="330"/>
      <c r="O13" s="330"/>
      <c r="P13" s="335"/>
      <c r="Q13" s="287"/>
      <c r="R13" s="287"/>
      <c r="S13" s="335"/>
      <c r="T13" s="283"/>
      <c r="U13" s="283"/>
      <c r="V13" s="335"/>
      <c r="W13" s="283"/>
      <c r="X13" s="283"/>
      <c r="Y13" s="335"/>
      <c r="Z13" s="283"/>
      <c r="AA13" s="283"/>
      <c r="AB13" s="335"/>
      <c r="AC13" s="283"/>
      <c r="AD13" s="283"/>
      <c r="AE13" s="335"/>
      <c r="AF13" s="283"/>
      <c r="AG13" s="283"/>
      <c r="AH13" s="335"/>
      <c r="AI13" s="60"/>
    </row>
    <row r="14" spans="2:35" ht="49.5" customHeight="1" x14ac:dyDescent="0.2">
      <c r="B14" s="331"/>
      <c r="C14" s="331"/>
      <c r="D14" s="328"/>
      <c r="E14" s="328"/>
      <c r="F14" s="451"/>
      <c r="G14" s="451"/>
      <c r="H14" s="451"/>
      <c r="I14" s="451"/>
      <c r="J14" s="451"/>
      <c r="K14" s="451"/>
      <c r="L14" s="451"/>
      <c r="M14" s="451"/>
      <c r="N14" s="333"/>
      <c r="O14" s="333"/>
      <c r="P14" s="329"/>
      <c r="Q14" s="333"/>
      <c r="R14" s="333"/>
      <c r="S14" s="333"/>
      <c r="T14" s="333"/>
      <c r="U14" s="333"/>
      <c r="V14" s="333"/>
      <c r="W14" s="334"/>
      <c r="X14" s="334"/>
      <c r="Y14" s="334"/>
      <c r="Z14" s="334"/>
      <c r="AA14" s="334"/>
      <c r="AB14" s="334"/>
      <c r="AC14" s="333"/>
      <c r="AD14" s="333"/>
      <c r="AE14" s="333"/>
      <c r="AF14" s="333"/>
      <c r="AG14" s="333"/>
      <c r="AH14" s="333"/>
      <c r="AI14" s="50"/>
    </row>
    <row r="15" spans="2:35" ht="26.85" customHeight="1" x14ac:dyDescent="0.2">
      <c r="B15" s="6" t="s">
        <v>106</v>
      </c>
      <c r="C15" s="6"/>
      <c r="D15" s="7" t="s">
        <v>9</v>
      </c>
      <c r="E15" s="7"/>
      <c r="F15" s="930" t="s">
        <v>197</v>
      </c>
      <c r="G15" s="930"/>
      <c r="H15" s="930"/>
      <c r="I15" s="930"/>
      <c r="J15" s="930" t="s">
        <v>11</v>
      </c>
      <c r="K15" s="930"/>
      <c r="L15" s="930"/>
      <c r="M15" s="930"/>
      <c r="N15" s="920" t="s">
        <v>12</v>
      </c>
      <c r="O15" s="920"/>
      <c r="P15" s="920"/>
      <c r="Q15" s="920" t="s">
        <v>13</v>
      </c>
      <c r="R15" s="920"/>
      <c r="S15" s="920"/>
      <c r="T15" s="920" t="s">
        <v>14</v>
      </c>
      <c r="U15" s="920"/>
      <c r="V15" s="920"/>
      <c r="W15" s="920" t="s">
        <v>15</v>
      </c>
      <c r="X15" s="920"/>
      <c r="Y15" s="920"/>
      <c r="Z15" s="920" t="s">
        <v>16</v>
      </c>
      <c r="AA15" s="920"/>
      <c r="AB15" s="920"/>
      <c r="AC15" s="920" t="s">
        <v>17</v>
      </c>
      <c r="AD15" s="920"/>
      <c r="AE15" s="920"/>
      <c r="AF15" s="920" t="s">
        <v>18</v>
      </c>
      <c r="AG15" s="920"/>
      <c r="AH15" s="920"/>
      <c r="AI15" s="50"/>
    </row>
    <row r="16" spans="2:35" ht="26.85" customHeight="1" x14ac:dyDescent="0.25">
      <c r="B16" s="231"/>
      <c r="C16" s="231"/>
      <c r="D16" s="180"/>
      <c r="E16" s="180"/>
      <c r="F16" s="182" t="s">
        <v>99</v>
      </c>
      <c r="G16" s="182" t="s">
        <v>100</v>
      </c>
      <c r="H16" s="532" t="s">
        <v>101</v>
      </c>
      <c r="I16" s="182" t="s">
        <v>102</v>
      </c>
      <c r="J16" s="452" t="s">
        <v>99</v>
      </c>
      <c r="K16" s="452" t="s">
        <v>100</v>
      </c>
      <c r="L16" s="690" t="s">
        <v>101</v>
      </c>
      <c r="M16" s="452" t="s">
        <v>102</v>
      </c>
      <c r="N16" s="183" t="s">
        <v>99</v>
      </c>
      <c r="O16" s="183" t="s">
        <v>100</v>
      </c>
      <c r="P16" s="183" t="s">
        <v>102</v>
      </c>
      <c r="Q16" s="183" t="s">
        <v>99</v>
      </c>
      <c r="R16" s="183" t="s">
        <v>100</v>
      </c>
      <c r="S16" s="183" t="s">
        <v>102</v>
      </c>
      <c r="T16" s="183" t="s">
        <v>99</v>
      </c>
      <c r="U16" s="183" t="s">
        <v>100</v>
      </c>
      <c r="V16" s="183" t="s">
        <v>102</v>
      </c>
      <c r="W16" s="183" t="s">
        <v>99</v>
      </c>
      <c r="X16" s="183" t="s">
        <v>100</v>
      </c>
      <c r="Y16" s="183" t="s">
        <v>102</v>
      </c>
      <c r="Z16" s="183" t="s">
        <v>99</v>
      </c>
      <c r="AA16" s="183" t="s">
        <v>100</v>
      </c>
      <c r="AB16" s="183" t="s">
        <v>102</v>
      </c>
      <c r="AC16" s="183" t="s">
        <v>99</v>
      </c>
      <c r="AD16" s="183" t="s">
        <v>100</v>
      </c>
      <c r="AE16" s="183" t="s">
        <v>102</v>
      </c>
      <c r="AF16" s="183" t="s">
        <v>99</v>
      </c>
      <c r="AG16" s="183" t="s">
        <v>100</v>
      </c>
      <c r="AH16" s="183" t="s">
        <v>102</v>
      </c>
      <c r="AI16" s="50"/>
    </row>
    <row r="17" spans="2:35" ht="26.85" customHeight="1" x14ac:dyDescent="0.25">
      <c r="B17" s="198" t="s">
        <v>107</v>
      </c>
      <c r="C17" s="198"/>
      <c r="D17" s="180" t="s">
        <v>31</v>
      </c>
      <c r="E17" s="180"/>
      <c r="F17" s="758">
        <v>0.17497587648761659</v>
      </c>
      <c r="G17" s="758">
        <v>0.79832743647475068</v>
      </c>
      <c r="H17" s="752">
        <v>1.9298809906722419E-3</v>
      </c>
      <c r="I17" s="457">
        <v>0.97597894044093458</v>
      </c>
      <c r="J17" s="719">
        <v>0.16584402764067127</v>
      </c>
      <c r="K17" s="719">
        <v>0.80816057913787431</v>
      </c>
      <c r="L17" s="708">
        <v>1.9743336623889436E-3</v>
      </c>
      <c r="M17" s="706">
        <f>SUM(J17:L17)</f>
        <v>0.97597894044093458</v>
      </c>
      <c r="N17" s="208">
        <f>N22/P11</f>
        <v>0.15469233413544173</v>
      </c>
      <c r="O17" s="208">
        <f>O22/P11</f>
        <v>0.81918184943279482</v>
      </c>
      <c r="P17" s="208">
        <f>P22/P11</f>
        <v>0.97387418356823652</v>
      </c>
      <c r="Q17" s="381">
        <v>0.14899999999999999</v>
      </c>
      <c r="R17" s="381">
        <v>0.82589999999999997</v>
      </c>
      <c r="S17" s="222">
        <f>SUM(Q17:R17)</f>
        <v>0.97489999999999999</v>
      </c>
      <c r="T17" s="381">
        <v>0.1409</v>
      </c>
      <c r="U17" s="381">
        <v>0.83540000000000003</v>
      </c>
      <c r="V17" s="381">
        <f>SUM(T17:U17)</f>
        <v>0.97630000000000006</v>
      </c>
      <c r="W17" s="381">
        <v>0.14480000000000001</v>
      </c>
      <c r="X17" s="382">
        <v>0.83030000000000004</v>
      </c>
      <c r="Y17" s="381">
        <f>SUM(W17:X17)</f>
        <v>0.97510000000000008</v>
      </c>
      <c r="Z17" s="381">
        <f>450/$AB$11</f>
        <v>0.13706975327444409</v>
      </c>
      <c r="AA17" s="382">
        <f>2757/$AB$11</f>
        <v>0.83978068839476094</v>
      </c>
      <c r="AB17" s="381">
        <f>SUM(Z17:AA17)</f>
        <v>0.97685044166920498</v>
      </c>
      <c r="AC17" s="381">
        <f>460/$AE$11</f>
        <v>0.13271783035199078</v>
      </c>
      <c r="AD17" s="381">
        <f>2923/$AE$11</f>
        <v>0.84333525678014998</v>
      </c>
      <c r="AE17" s="381">
        <f>SUM(AC17:AD17)</f>
        <v>0.97605308713214078</v>
      </c>
      <c r="AF17" s="381">
        <f>492/$AH$11</f>
        <v>0.13472070098576122</v>
      </c>
      <c r="AG17" s="381">
        <f>3047/$AH$11</f>
        <v>0.83433734939759041</v>
      </c>
      <c r="AH17" s="381">
        <f>SUM(AF17:AG17)</f>
        <v>0.96905805038335169</v>
      </c>
      <c r="AI17" s="61"/>
    </row>
    <row r="18" spans="2:35" ht="26.85" customHeight="1" x14ac:dyDescent="0.25">
      <c r="B18" s="347" t="s">
        <v>108</v>
      </c>
      <c r="C18" s="347"/>
      <c r="D18" s="180" t="s">
        <v>25</v>
      </c>
      <c r="E18" s="180"/>
      <c r="F18" s="751">
        <v>204</v>
      </c>
      <c r="G18" s="751">
        <v>828</v>
      </c>
      <c r="H18" s="750" t="s">
        <v>23</v>
      </c>
      <c r="I18" s="756">
        <f>SUM(F18:G18)</f>
        <v>1032</v>
      </c>
      <c r="J18" s="720">
        <v>192</v>
      </c>
      <c r="K18" s="720">
        <v>813</v>
      </c>
      <c r="L18" s="721" t="s">
        <v>23</v>
      </c>
      <c r="M18" s="700">
        <f>SUM(J18:K18)</f>
        <v>1005</v>
      </c>
      <c r="N18" s="191">
        <v>161</v>
      </c>
      <c r="O18" s="191">
        <v>781</v>
      </c>
      <c r="P18" s="191">
        <f>SUM(N18:O18)</f>
        <v>942</v>
      </c>
      <c r="Q18" s="372" t="s">
        <v>23</v>
      </c>
      <c r="R18" s="372" t="s">
        <v>23</v>
      </c>
      <c r="S18" s="372" t="s">
        <v>23</v>
      </c>
      <c r="T18" s="372" t="s">
        <v>23</v>
      </c>
      <c r="U18" s="372" t="s">
        <v>23</v>
      </c>
      <c r="V18" s="372" t="s">
        <v>23</v>
      </c>
      <c r="W18" s="372" t="s">
        <v>23</v>
      </c>
      <c r="X18" s="372" t="s">
        <v>23</v>
      </c>
      <c r="Y18" s="372" t="s">
        <v>23</v>
      </c>
      <c r="Z18" s="372" t="s">
        <v>23</v>
      </c>
      <c r="AA18" s="372" t="s">
        <v>23</v>
      </c>
      <c r="AB18" s="372" t="s">
        <v>23</v>
      </c>
      <c r="AC18" s="372" t="s">
        <v>23</v>
      </c>
      <c r="AD18" s="372" t="s">
        <v>23</v>
      </c>
      <c r="AE18" s="372" t="s">
        <v>23</v>
      </c>
      <c r="AF18" s="372" t="s">
        <v>23</v>
      </c>
      <c r="AG18" s="372" t="s">
        <v>23</v>
      </c>
      <c r="AH18" s="372" t="s">
        <v>23</v>
      </c>
      <c r="AI18" s="62"/>
    </row>
    <row r="19" spans="2:35" ht="26.85" customHeight="1" x14ac:dyDescent="0.25">
      <c r="B19" s="347" t="s">
        <v>109</v>
      </c>
      <c r="C19" s="347"/>
      <c r="D19" s="180" t="s">
        <v>25</v>
      </c>
      <c r="E19" s="180"/>
      <c r="F19" s="751">
        <v>339</v>
      </c>
      <c r="G19" s="757">
        <v>1654</v>
      </c>
      <c r="H19" s="750" t="s">
        <v>23</v>
      </c>
      <c r="I19" s="756">
        <f>SUM(F19:G19)</f>
        <v>1993</v>
      </c>
      <c r="J19" s="720">
        <v>311</v>
      </c>
      <c r="K19" s="717">
        <v>1643</v>
      </c>
      <c r="L19" s="721" t="s">
        <v>23</v>
      </c>
      <c r="M19" s="700">
        <f>SUM(J19:K19)</f>
        <v>1954</v>
      </c>
      <c r="N19" s="191">
        <v>288</v>
      </c>
      <c r="O19" s="192">
        <v>1601</v>
      </c>
      <c r="P19" s="192">
        <f>SUM(N19:O19)</f>
        <v>1889</v>
      </c>
      <c r="Q19" s="372" t="s">
        <v>23</v>
      </c>
      <c r="R19" s="372" t="s">
        <v>23</v>
      </c>
      <c r="S19" s="372" t="s">
        <v>23</v>
      </c>
      <c r="T19" s="372" t="s">
        <v>23</v>
      </c>
      <c r="U19" s="372" t="s">
        <v>23</v>
      </c>
      <c r="V19" s="372" t="s">
        <v>23</v>
      </c>
      <c r="W19" s="372" t="s">
        <v>23</v>
      </c>
      <c r="X19" s="372" t="s">
        <v>23</v>
      </c>
      <c r="Y19" s="372" t="s">
        <v>23</v>
      </c>
      <c r="Z19" s="372" t="s">
        <v>23</v>
      </c>
      <c r="AA19" s="372" t="s">
        <v>23</v>
      </c>
      <c r="AB19" s="372" t="s">
        <v>23</v>
      </c>
      <c r="AC19" s="372" t="s">
        <v>23</v>
      </c>
      <c r="AD19" s="372" t="s">
        <v>23</v>
      </c>
      <c r="AE19" s="372" t="s">
        <v>23</v>
      </c>
      <c r="AF19" s="372" t="s">
        <v>23</v>
      </c>
      <c r="AG19" s="372" t="s">
        <v>23</v>
      </c>
      <c r="AH19" s="372" t="s">
        <v>23</v>
      </c>
      <c r="AI19" s="62"/>
    </row>
    <row r="20" spans="2:35" ht="26.85" customHeight="1" x14ac:dyDescent="0.25">
      <c r="B20" s="347" t="s">
        <v>110</v>
      </c>
      <c r="C20" s="347"/>
      <c r="D20" s="180" t="s">
        <v>25</v>
      </c>
      <c r="E20" s="180"/>
      <c r="F20" s="751">
        <v>1</v>
      </c>
      <c r="G20" s="750" t="s">
        <v>23</v>
      </c>
      <c r="H20" s="750" t="s">
        <v>23</v>
      </c>
      <c r="I20" s="456">
        <f>SUM(F20:G20)</f>
        <v>1</v>
      </c>
      <c r="J20" s="720">
        <v>1</v>
      </c>
      <c r="K20" s="721" t="s">
        <v>23</v>
      </c>
      <c r="L20" s="721" t="s">
        <v>23</v>
      </c>
      <c r="M20" s="699">
        <f>SUM(J20:K20)</f>
        <v>1</v>
      </c>
      <c r="N20" s="199">
        <v>1</v>
      </c>
      <c r="O20" s="199">
        <v>1</v>
      </c>
      <c r="P20" s="199">
        <f>SUM(N20:O20)</f>
        <v>2</v>
      </c>
      <c r="Q20" s="372" t="s">
        <v>23</v>
      </c>
      <c r="R20" s="372" t="s">
        <v>23</v>
      </c>
      <c r="S20" s="372" t="s">
        <v>23</v>
      </c>
      <c r="T20" s="372" t="s">
        <v>23</v>
      </c>
      <c r="U20" s="372" t="s">
        <v>23</v>
      </c>
      <c r="V20" s="372" t="s">
        <v>23</v>
      </c>
      <c r="W20" s="372" t="s">
        <v>23</v>
      </c>
      <c r="X20" s="372" t="s">
        <v>23</v>
      </c>
      <c r="Y20" s="372" t="s">
        <v>23</v>
      </c>
      <c r="Z20" s="372" t="s">
        <v>23</v>
      </c>
      <c r="AA20" s="372" t="s">
        <v>23</v>
      </c>
      <c r="AB20" s="372" t="s">
        <v>23</v>
      </c>
      <c r="AC20" s="372" t="s">
        <v>23</v>
      </c>
      <c r="AD20" s="372" t="s">
        <v>23</v>
      </c>
      <c r="AE20" s="372" t="s">
        <v>23</v>
      </c>
      <c r="AF20" s="372" t="s">
        <v>23</v>
      </c>
      <c r="AG20" s="372" t="s">
        <v>23</v>
      </c>
      <c r="AH20" s="372" t="s">
        <v>23</v>
      </c>
      <c r="AI20" s="62"/>
    </row>
    <row r="21" spans="2:35" ht="26.85" customHeight="1" x14ac:dyDescent="0.25">
      <c r="B21" s="345" t="s">
        <v>113</v>
      </c>
      <c r="C21" s="344"/>
      <c r="D21" s="180" t="s">
        <v>25</v>
      </c>
      <c r="E21" s="180"/>
      <c r="F21" s="750" t="s">
        <v>23</v>
      </c>
      <c r="G21" s="750" t="s">
        <v>23</v>
      </c>
      <c r="H21" s="759">
        <v>6</v>
      </c>
      <c r="I21" s="760">
        <f>H21</f>
        <v>6</v>
      </c>
      <c r="J21" s="721" t="s">
        <v>23</v>
      </c>
      <c r="K21" s="721" t="s">
        <v>23</v>
      </c>
      <c r="L21" s="722">
        <v>6</v>
      </c>
      <c r="M21" s="723">
        <f>L21</f>
        <v>6</v>
      </c>
      <c r="N21" s="380" t="s">
        <v>23</v>
      </c>
      <c r="O21" s="380" t="s">
        <v>23</v>
      </c>
      <c r="P21" s="380" t="s">
        <v>23</v>
      </c>
      <c r="Q21" s="372" t="s">
        <v>23</v>
      </c>
      <c r="R21" s="372" t="s">
        <v>23</v>
      </c>
      <c r="S21" s="372" t="s">
        <v>23</v>
      </c>
      <c r="T21" s="372" t="s">
        <v>23</v>
      </c>
      <c r="U21" s="372" t="s">
        <v>23</v>
      </c>
      <c r="V21" s="372" t="s">
        <v>23</v>
      </c>
      <c r="W21" s="372" t="s">
        <v>23</v>
      </c>
      <c r="X21" s="372" t="s">
        <v>23</v>
      </c>
      <c r="Y21" s="372" t="s">
        <v>23</v>
      </c>
      <c r="Z21" s="372" t="s">
        <v>23</v>
      </c>
      <c r="AA21" s="372" t="s">
        <v>23</v>
      </c>
      <c r="AB21" s="372" t="s">
        <v>23</v>
      </c>
      <c r="AC21" s="372" t="s">
        <v>23</v>
      </c>
      <c r="AD21" s="372" t="s">
        <v>23</v>
      </c>
      <c r="AE21" s="372" t="s">
        <v>23</v>
      </c>
      <c r="AF21" s="372" t="s">
        <v>23</v>
      </c>
      <c r="AG21" s="372" t="s">
        <v>23</v>
      </c>
      <c r="AH21" s="372" t="s">
        <v>23</v>
      </c>
      <c r="AI21" s="62"/>
    </row>
    <row r="22" spans="2:35" ht="26.85" customHeight="1" x14ac:dyDescent="0.25">
      <c r="B22" s="345" t="s">
        <v>102</v>
      </c>
      <c r="C22" s="347"/>
      <c r="D22" s="180" t="s">
        <v>25</v>
      </c>
      <c r="E22" s="180"/>
      <c r="F22" s="456">
        <f t="shared" ref="F22:I22" si="0">SUM(F18:F21)</f>
        <v>544</v>
      </c>
      <c r="G22" s="756">
        <f t="shared" si="0"/>
        <v>2482</v>
      </c>
      <c r="H22" s="756">
        <f t="shared" si="0"/>
        <v>6</v>
      </c>
      <c r="I22" s="756">
        <f t="shared" si="0"/>
        <v>3032</v>
      </c>
      <c r="J22" s="689">
        <f t="shared" ref="J22:M22" si="1">SUM(J18:J21)</f>
        <v>504</v>
      </c>
      <c r="K22" s="688">
        <f t="shared" si="1"/>
        <v>2456</v>
      </c>
      <c r="L22" s="688">
        <f t="shared" si="1"/>
        <v>6</v>
      </c>
      <c r="M22" s="688">
        <f t="shared" si="1"/>
        <v>2966</v>
      </c>
      <c r="N22" s="199">
        <f>SUM(N18:N20)</f>
        <v>450</v>
      </c>
      <c r="O22" s="192">
        <f>SUM(O18:O20)</f>
        <v>2383</v>
      </c>
      <c r="P22" s="192">
        <f>SUM(P18:P20)</f>
        <v>2833</v>
      </c>
      <c r="Q22" s="372" t="s">
        <v>23</v>
      </c>
      <c r="R22" s="372" t="s">
        <v>23</v>
      </c>
      <c r="S22" s="372" t="s">
        <v>23</v>
      </c>
      <c r="T22" s="372" t="s">
        <v>23</v>
      </c>
      <c r="U22" s="372" t="s">
        <v>23</v>
      </c>
      <c r="V22" s="372" t="s">
        <v>23</v>
      </c>
      <c r="W22" s="372" t="s">
        <v>23</v>
      </c>
      <c r="X22" s="372" t="s">
        <v>23</v>
      </c>
      <c r="Y22" s="372" t="s">
        <v>23</v>
      </c>
      <c r="Z22" s="372" t="s">
        <v>23</v>
      </c>
      <c r="AA22" s="372" t="s">
        <v>23</v>
      </c>
      <c r="AB22" s="372" t="s">
        <v>23</v>
      </c>
      <c r="AC22" s="372" t="s">
        <v>23</v>
      </c>
      <c r="AD22" s="372" t="s">
        <v>23</v>
      </c>
      <c r="AE22" s="372" t="s">
        <v>23</v>
      </c>
      <c r="AF22" s="372" t="s">
        <v>23</v>
      </c>
      <c r="AG22" s="372" t="s">
        <v>23</v>
      </c>
      <c r="AH22" s="372" t="s">
        <v>23</v>
      </c>
      <c r="AI22" s="62"/>
    </row>
    <row r="23" spans="2:35" ht="26.85" customHeight="1" x14ac:dyDescent="0.25">
      <c r="B23" s="231" t="s">
        <v>114</v>
      </c>
      <c r="C23" s="198"/>
      <c r="D23" s="180" t="s">
        <v>31</v>
      </c>
      <c r="E23" s="180"/>
      <c r="F23" s="758">
        <v>2.0585397233837247E-2</v>
      </c>
      <c r="G23" s="758">
        <v>4.1814088131231905E-3</v>
      </c>
      <c r="H23" s="750" t="s">
        <v>23</v>
      </c>
      <c r="I23" s="457">
        <v>2.4766806046960438E-2</v>
      </c>
      <c r="J23" s="724">
        <v>2.0401447844685752E-2</v>
      </c>
      <c r="K23" s="719">
        <v>3.6196117143797303E-3</v>
      </c>
      <c r="L23" s="718">
        <v>0</v>
      </c>
      <c r="M23" s="706">
        <f>SUM(J23:L23)</f>
        <v>2.4021059559065482E-2</v>
      </c>
      <c r="N23" s="209">
        <f>N28/P11</f>
        <v>2.1313166036438638E-2</v>
      </c>
      <c r="O23" s="209">
        <f>O28/P11</f>
        <v>4.8126503953248535E-3</v>
      </c>
      <c r="P23" s="209">
        <f>P28/P11</f>
        <v>2.6125816431763493E-2</v>
      </c>
      <c r="Q23" s="381">
        <v>1.9E-2</v>
      </c>
      <c r="R23" s="381">
        <v>6.1000000000000004E-3</v>
      </c>
      <c r="S23" s="381">
        <f>SUM(Q23:R23)</f>
        <v>2.5100000000000001E-2</v>
      </c>
      <c r="T23" s="222">
        <v>1.78E-2</v>
      </c>
      <c r="U23" s="222">
        <v>5.8999999999999999E-3</v>
      </c>
      <c r="V23" s="222">
        <f>SUM(T23:U23)</f>
        <v>2.3699999999999999E-2</v>
      </c>
      <c r="W23" s="222">
        <v>2.24E-2</v>
      </c>
      <c r="X23" s="222">
        <v>2.0999999999999999E-3</v>
      </c>
      <c r="Y23" s="222">
        <f>SUM(W23:X23)</f>
        <v>2.4500000000000001E-2</v>
      </c>
      <c r="Z23" s="222">
        <f>73/$AB$11</f>
        <v>2.2235759975632045E-2</v>
      </c>
      <c r="AA23" s="222">
        <f>3/$AB$11</f>
        <v>9.1379835516296074E-4</v>
      </c>
      <c r="AB23" s="222">
        <f>SUM(Z23:AA23)</f>
        <v>2.3149558330795007E-2</v>
      </c>
      <c r="AC23" s="381">
        <f>79/$AE$11</f>
        <v>2.2792844777841891E-2</v>
      </c>
      <c r="AD23" s="381">
        <f>4/$AE$11</f>
        <v>1.1540680900173109E-3</v>
      </c>
      <c r="AE23" s="381">
        <f t="shared" ref="AE23" si="2">SUM(AC23:AD23)</f>
        <v>2.3946912867859202E-2</v>
      </c>
      <c r="AF23" s="382">
        <f>110/$AH$11</f>
        <v>3.0120481927710843E-2</v>
      </c>
      <c r="AG23" s="381">
        <f>3/$AH$11</f>
        <v>8.2146768893756844E-4</v>
      </c>
      <c r="AH23" s="381">
        <f t="shared" ref="AH23:AH33" si="3">SUM(AF23:AG23)</f>
        <v>3.0941949616648413E-2</v>
      </c>
      <c r="AI23" s="61"/>
    </row>
    <row r="24" spans="2:35" ht="26.85" customHeight="1" x14ac:dyDescent="0.25">
      <c r="B24" s="345" t="s">
        <v>108</v>
      </c>
      <c r="C24" s="347"/>
      <c r="D24" s="180" t="s">
        <v>25</v>
      </c>
      <c r="E24" s="180"/>
      <c r="F24" s="751">
        <v>40</v>
      </c>
      <c r="G24" s="751">
        <v>3</v>
      </c>
      <c r="H24" s="750" t="s">
        <v>23</v>
      </c>
      <c r="I24" s="756">
        <f>SUM(F24:G24)</f>
        <v>43</v>
      </c>
      <c r="J24" s="720">
        <v>34</v>
      </c>
      <c r="K24" s="720">
        <v>4</v>
      </c>
      <c r="L24" s="721" t="s">
        <v>23</v>
      </c>
      <c r="M24" s="699">
        <f>SUM(J24:K24)</f>
        <v>38</v>
      </c>
      <c r="N24" s="199">
        <v>33</v>
      </c>
      <c r="O24" s="199">
        <v>6</v>
      </c>
      <c r="P24" s="199">
        <f>SUM(N24:O24)</f>
        <v>39</v>
      </c>
      <c r="Q24" s="372" t="s">
        <v>23</v>
      </c>
      <c r="R24" s="372" t="s">
        <v>23</v>
      </c>
      <c r="S24" s="372" t="s">
        <v>23</v>
      </c>
      <c r="T24" s="372" t="s">
        <v>23</v>
      </c>
      <c r="U24" s="372" t="s">
        <v>23</v>
      </c>
      <c r="V24" s="372" t="s">
        <v>23</v>
      </c>
      <c r="W24" s="372" t="s">
        <v>23</v>
      </c>
      <c r="X24" s="372" t="s">
        <v>23</v>
      </c>
      <c r="Y24" s="372" t="s">
        <v>23</v>
      </c>
      <c r="Z24" s="372" t="s">
        <v>23</v>
      </c>
      <c r="AA24" s="372" t="s">
        <v>23</v>
      </c>
      <c r="AB24" s="372" t="s">
        <v>23</v>
      </c>
      <c r="AC24" s="372" t="s">
        <v>23</v>
      </c>
      <c r="AD24" s="372" t="s">
        <v>23</v>
      </c>
      <c r="AE24" s="372" t="s">
        <v>23</v>
      </c>
      <c r="AF24" s="372" t="s">
        <v>23</v>
      </c>
      <c r="AG24" s="372" t="s">
        <v>23</v>
      </c>
      <c r="AH24" s="372" t="s">
        <v>23</v>
      </c>
      <c r="AI24" s="62"/>
    </row>
    <row r="25" spans="2:35" ht="26.85" customHeight="1" x14ac:dyDescent="0.25">
      <c r="B25" s="345" t="s">
        <v>109</v>
      </c>
      <c r="C25" s="347"/>
      <c r="D25" s="180" t="s">
        <v>25</v>
      </c>
      <c r="E25" s="180"/>
      <c r="F25" s="751">
        <v>24</v>
      </c>
      <c r="G25" s="751">
        <v>10</v>
      </c>
      <c r="H25" s="750" t="s">
        <v>23</v>
      </c>
      <c r="I25" s="756">
        <f>SUM(F25:G25)</f>
        <v>34</v>
      </c>
      <c r="J25" s="720">
        <v>28</v>
      </c>
      <c r="K25" s="720">
        <v>7</v>
      </c>
      <c r="L25" s="721" t="s">
        <v>23</v>
      </c>
      <c r="M25" s="699">
        <f t="shared" ref="M25:M26" si="4">SUM(J25:K25)</f>
        <v>35</v>
      </c>
      <c r="N25" s="199">
        <v>29</v>
      </c>
      <c r="O25" s="199">
        <v>8</v>
      </c>
      <c r="P25" s="199">
        <f>SUM(N25:O25)</f>
        <v>37</v>
      </c>
      <c r="Q25" s="372" t="s">
        <v>23</v>
      </c>
      <c r="R25" s="372" t="s">
        <v>23</v>
      </c>
      <c r="S25" s="372" t="s">
        <v>23</v>
      </c>
      <c r="T25" s="372" t="s">
        <v>23</v>
      </c>
      <c r="U25" s="372" t="s">
        <v>23</v>
      </c>
      <c r="V25" s="372" t="s">
        <v>23</v>
      </c>
      <c r="W25" s="372" t="s">
        <v>23</v>
      </c>
      <c r="X25" s="372" t="s">
        <v>23</v>
      </c>
      <c r="Y25" s="372" t="s">
        <v>23</v>
      </c>
      <c r="Z25" s="372" t="s">
        <v>23</v>
      </c>
      <c r="AA25" s="372" t="s">
        <v>23</v>
      </c>
      <c r="AB25" s="372" t="s">
        <v>23</v>
      </c>
      <c r="AC25" s="372" t="s">
        <v>23</v>
      </c>
      <c r="AD25" s="372" t="s">
        <v>23</v>
      </c>
      <c r="AE25" s="372" t="s">
        <v>23</v>
      </c>
      <c r="AF25" s="372" t="s">
        <v>23</v>
      </c>
      <c r="AG25" s="372" t="s">
        <v>23</v>
      </c>
      <c r="AH25" s="372" t="s">
        <v>23</v>
      </c>
      <c r="AI25" s="62"/>
    </row>
    <row r="26" spans="2:35" ht="26.85" customHeight="1" x14ac:dyDescent="0.25">
      <c r="B26" s="347" t="s">
        <v>110</v>
      </c>
      <c r="C26" s="347"/>
      <c r="D26" s="180" t="s">
        <v>25</v>
      </c>
      <c r="E26" s="180"/>
      <c r="F26" s="750" t="s">
        <v>23</v>
      </c>
      <c r="G26" s="750" t="s">
        <v>23</v>
      </c>
      <c r="H26" s="750" t="s">
        <v>23</v>
      </c>
      <c r="I26" s="456">
        <f>SUM(F26:G26)</f>
        <v>0</v>
      </c>
      <c r="J26" s="721" t="s">
        <v>23</v>
      </c>
      <c r="K26" s="721" t="s">
        <v>23</v>
      </c>
      <c r="L26" s="721" t="s">
        <v>23</v>
      </c>
      <c r="M26" s="699">
        <f t="shared" si="4"/>
        <v>0</v>
      </c>
      <c r="N26" s="199">
        <v>0</v>
      </c>
      <c r="O26" s="199">
        <v>0</v>
      </c>
      <c r="P26" s="199">
        <f>SUM(N26:O26)</f>
        <v>0</v>
      </c>
      <c r="Q26" s="372" t="s">
        <v>23</v>
      </c>
      <c r="R26" s="372" t="s">
        <v>23</v>
      </c>
      <c r="S26" s="372" t="s">
        <v>23</v>
      </c>
      <c r="T26" s="372" t="s">
        <v>23</v>
      </c>
      <c r="U26" s="372" t="s">
        <v>23</v>
      </c>
      <c r="V26" s="372" t="s">
        <v>23</v>
      </c>
      <c r="W26" s="372" t="s">
        <v>23</v>
      </c>
      <c r="X26" s="372" t="s">
        <v>23</v>
      </c>
      <c r="Y26" s="372" t="s">
        <v>23</v>
      </c>
      <c r="Z26" s="372" t="s">
        <v>23</v>
      </c>
      <c r="AA26" s="372" t="s">
        <v>23</v>
      </c>
      <c r="AB26" s="372" t="s">
        <v>23</v>
      </c>
      <c r="AC26" s="372" t="s">
        <v>23</v>
      </c>
      <c r="AD26" s="372" t="s">
        <v>23</v>
      </c>
      <c r="AE26" s="372" t="s">
        <v>23</v>
      </c>
      <c r="AF26" s="372" t="s">
        <v>23</v>
      </c>
      <c r="AG26" s="372" t="s">
        <v>23</v>
      </c>
      <c r="AH26" s="372" t="s">
        <v>23</v>
      </c>
      <c r="AI26" s="62"/>
    </row>
    <row r="27" spans="2:35" ht="26.85" customHeight="1" x14ac:dyDescent="0.25">
      <c r="B27" s="345" t="s">
        <v>113</v>
      </c>
      <c r="C27" s="344"/>
      <c r="D27" s="180" t="s">
        <v>25</v>
      </c>
      <c r="E27" s="180"/>
      <c r="F27" s="750" t="s">
        <v>23</v>
      </c>
      <c r="G27" s="750" t="s">
        <v>23</v>
      </c>
      <c r="H27" s="750" t="s">
        <v>23</v>
      </c>
      <c r="I27" s="760" t="str">
        <f>H27</f>
        <v>-</v>
      </c>
      <c r="J27" s="721" t="s">
        <v>23</v>
      </c>
      <c r="K27" s="721" t="s">
        <v>23</v>
      </c>
      <c r="L27" s="699">
        <v>0</v>
      </c>
      <c r="M27" s="699">
        <f>L27</f>
        <v>0</v>
      </c>
      <c r="N27" s="380" t="s">
        <v>23</v>
      </c>
      <c r="O27" s="380" t="s">
        <v>23</v>
      </c>
      <c r="P27" s="380" t="s">
        <v>23</v>
      </c>
      <c r="Q27" s="372" t="s">
        <v>23</v>
      </c>
      <c r="R27" s="372" t="s">
        <v>23</v>
      </c>
      <c r="S27" s="372" t="s">
        <v>23</v>
      </c>
      <c r="T27" s="372" t="s">
        <v>23</v>
      </c>
      <c r="U27" s="372" t="s">
        <v>23</v>
      </c>
      <c r="V27" s="372" t="s">
        <v>23</v>
      </c>
      <c r="W27" s="372" t="s">
        <v>23</v>
      </c>
      <c r="X27" s="372" t="s">
        <v>23</v>
      </c>
      <c r="Y27" s="372" t="s">
        <v>23</v>
      </c>
      <c r="Z27" s="372" t="s">
        <v>23</v>
      </c>
      <c r="AA27" s="372" t="s">
        <v>23</v>
      </c>
      <c r="AB27" s="372" t="s">
        <v>23</v>
      </c>
      <c r="AC27" s="372" t="s">
        <v>23</v>
      </c>
      <c r="AD27" s="372" t="s">
        <v>23</v>
      </c>
      <c r="AE27" s="372" t="s">
        <v>23</v>
      </c>
      <c r="AF27" s="372" t="s">
        <v>23</v>
      </c>
      <c r="AG27" s="372" t="s">
        <v>23</v>
      </c>
      <c r="AH27" s="372" t="s">
        <v>23</v>
      </c>
      <c r="AI27" s="62"/>
    </row>
    <row r="28" spans="2:35" ht="26.85" customHeight="1" x14ac:dyDescent="0.25">
      <c r="B28" s="345" t="s">
        <v>102</v>
      </c>
      <c r="C28" s="347"/>
      <c r="D28" s="180" t="s">
        <v>25</v>
      </c>
      <c r="E28" s="180"/>
      <c r="F28" s="456">
        <f t="shared" ref="F28:I28" si="5">SUM(F24:F27)</f>
        <v>64</v>
      </c>
      <c r="G28" s="756">
        <f t="shared" si="5"/>
        <v>13</v>
      </c>
      <c r="H28" s="756">
        <f t="shared" si="5"/>
        <v>0</v>
      </c>
      <c r="I28" s="756">
        <f t="shared" si="5"/>
        <v>77</v>
      </c>
      <c r="J28" s="699">
        <f t="shared" ref="J28:M28" si="6">SUM(J24:J27)</f>
        <v>62</v>
      </c>
      <c r="K28" s="699">
        <f t="shared" si="6"/>
        <v>11</v>
      </c>
      <c r="L28" s="699">
        <f t="shared" si="6"/>
        <v>0</v>
      </c>
      <c r="M28" s="699">
        <f t="shared" si="6"/>
        <v>73</v>
      </c>
      <c r="N28" s="199">
        <f>SUM(N24:N26)</f>
        <v>62</v>
      </c>
      <c r="O28" s="199">
        <f>SUM(O24:O26)</f>
        <v>14</v>
      </c>
      <c r="P28" s="199">
        <f>SUM(P24:P26)</f>
        <v>76</v>
      </c>
      <c r="Q28" s="372" t="s">
        <v>23</v>
      </c>
      <c r="R28" s="372" t="s">
        <v>23</v>
      </c>
      <c r="S28" s="372" t="s">
        <v>23</v>
      </c>
      <c r="T28" s="372" t="s">
        <v>23</v>
      </c>
      <c r="U28" s="372" t="s">
        <v>23</v>
      </c>
      <c r="V28" s="372" t="s">
        <v>23</v>
      </c>
      <c r="W28" s="372" t="s">
        <v>23</v>
      </c>
      <c r="X28" s="372" t="s">
        <v>23</v>
      </c>
      <c r="Y28" s="372" t="s">
        <v>23</v>
      </c>
      <c r="Z28" s="372" t="s">
        <v>23</v>
      </c>
      <c r="AA28" s="372" t="s">
        <v>23</v>
      </c>
      <c r="AB28" s="372" t="s">
        <v>23</v>
      </c>
      <c r="AC28" s="372" t="s">
        <v>23</v>
      </c>
      <c r="AD28" s="372" t="s">
        <v>23</v>
      </c>
      <c r="AE28" s="372" t="s">
        <v>23</v>
      </c>
      <c r="AF28" s="372" t="s">
        <v>23</v>
      </c>
      <c r="AG28" s="372" t="s">
        <v>23</v>
      </c>
      <c r="AH28" s="372" t="s">
        <v>23</v>
      </c>
      <c r="AI28" s="62"/>
    </row>
    <row r="29" spans="2:35" ht="26.85" customHeight="1" x14ac:dyDescent="0.25">
      <c r="B29" s="246" t="s">
        <v>115</v>
      </c>
      <c r="C29" s="367"/>
      <c r="D29" s="180" t="s">
        <v>31</v>
      </c>
      <c r="E29" s="180"/>
      <c r="F29" s="761">
        <v>0</v>
      </c>
      <c r="G29" s="761">
        <v>0</v>
      </c>
      <c r="H29" s="761">
        <v>0</v>
      </c>
      <c r="I29" s="458">
        <v>0</v>
      </c>
      <c r="J29" s="725">
        <v>0</v>
      </c>
      <c r="K29" s="725">
        <v>0</v>
      </c>
      <c r="L29" s="725">
        <v>0</v>
      </c>
      <c r="M29" s="707">
        <f>SUM(J29:L29)</f>
        <v>0</v>
      </c>
      <c r="N29" s="383">
        <v>0</v>
      </c>
      <c r="O29" s="383">
        <v>0</v>
      </c>
      <c r="P29" s="211">
        <f>SUM(N29:O29)</f>
        <v>0</v>
      </c>
      <c r="Q29" s="372" t="s">
        <v>23</v>
      </c>
      <c r="R29" s="372" t="s">
        <v>23</v>
      </c>
      <c r="S29" s="372" t="s">
        <v>23</v>
      </c>
      <c r="T29" s="372" t="s">
        <v>23</v>
      </c>
      <c r="U29" s="372" t="s">
        <v>23</v>
      </c>
      <c r="V29" s="372" t="s">
        <v>23</v>
      </c>
      <c r="W29" s="372" t="s">
        <v>23</v>
      </c>
      <c r="X29" s="372" t="s">
        <v>23</v>
      </c>
      <c r="Y29" s="372" t="s">
        <v>23</v>
      </c>
      <c r="Z29" s="372" t="s">
        <v>23</v>
      </c>
      <c r="AA29" s="372" t="s">
        <v>23</v>
      </c>
      <c r="AB29" s="372" t="s">
        <v>23</v>
      </c>
      <c r="AC29" s="372" t="s">
        <v>23</v>
      </c>
      <c r="AD29" s="372" t="s">
        <v>23</v>
      </c>
      <c r="AE29" s="372" t="s">
        <v>23</v>
      </c>
      <c r="AF29" s="372" t="s">
        <v>23</v>
      </c>
      <c r="AG29" s="372" t="s">
        <v>23</v>
      </c>
      <c r="AH29" s="372" t="s">
        <v>23</v>
      </c>
      <c r="AI29" s="62"/>
    </row>
    <row r="30" spans="2:35" ht="26.85" customHeight="1" x14ac:dyDescent="0.25">
      <c r="B30" s="350" t="s">
        <v>108</v>
      </c>
      <c r="C30" s="349"/>
      <c r="D30" s="180" t="s">
        <v>25</v>
      </c>
      <c r="E30" s="180"/>
      <c r="F30" s="750" t="s">
        <v>23</v>
      </c>
      <c r="G30" s="750" t="s">
        <v>23</v>
      </c>
      <c r="H30" s="750" t="s">
        <v>23</v>
      </c>
      <c r="I30" s="456">
        <v>0</v>
      </c>
      <c r="J30" s="721" t="s">
        <v>23</v>
      </c>
      <c r="K30" s="721" t="s">
        <v>23</v>
      </c>
      <c r="L30" s="721" t="s">
        <v>23</v>
      </c>
      <c r="M30" s="699">
        <f>SUM(J30:K30)</f>
        <v>0</v>
      </c>
      <c r="N30" s="244">
        <v>0</v>
      </c>
      <c r="O30" s="244">
        <v>0</v>
      </c>
      <c r="P30" s="199">
        <f>SUM(N30:O30)</f>
        <v>0</v>
      </c>
      <c r="Q30" s="372" t="s">
        <v>23</v>
      </c>
      <c r="R30" s="372" t="s">
        <v>23</v>
      </c>
      <c r="S30" s="372" t="s">
        <v>23</v>
      </c>
      <c r="T30" s="372" t="s">
        <v>23</v>
      </c>
      <c r="U30" s="372" t="s">
        <v>23</v>
      </c>
      <c r="V30" s="372" t="s">
        <v>23</v>
      </c>
      <c r="W30" s="372" t="s">
        <v>23</v>
      </c>
      <c r="X30" s="372" t="s">
        <v>23</v>
      </c>
      <c r="Y30" s="372" t="s">
        <v>23</v>
      </c>
      <c r="Z30" s="372" t="s">
        <v>23</v>
      </c>
      <c r="AA30" s="372" t="s">
        <v>23</v>
      </c>
      <c r="AB30" s="372" t="s">
        <v>23</v>
      </c>
      <c r="AC30" s="372" t="s">
        <v>23</v>
      </c>
      <c r="AD30" s="372" t="s">
        <v>23</v>
      </c>
      <c r="AE30" s="372" t="s">
        <v>23</v>
      </c>
      <c r="AF30" s="372" t="s">
        <v>23</v>
      </c>
      <c r="AG30" s="372" t="s">
        <v>23</v>
      </c>
      <c r="AH30" s="372" t="s">
        <v>23</v>
      </c>
      <c r="AI30" s="62"/>
    </row>
    <row r="31" spans="2:35" ht="26.85" customHeight="1" x14ac:dyDescent="0.25">
      <c r="B31" s="350" t="s">
        <v>109</v>
      </c>
      <c r="C31" s="349"/>
      <c r="D31" s="180" t="s">
        <v>25</v>
      </c>
      <c r="E31" s="180"/>
      <c r="F31" s="750" t="s">
        <v>23</v>
      </c>
      <c r="G31" s="750" t="s">
        <v>23</v>
      </c>
      <c r="H31" s="750" t="s">
        <v>23</v>
      </c>
      <c r="I31" s="456">
        <v>0</v>
      </c>
      <c r="J31" s="721" t="s">
        <v>23</v>
      </c>
      <c r="K31" s="721" t="s">
        <v>23</v>
      </c>
      <c r="L31" s="721" t="s">
        <v>23</v>
      </c>
      <c r="M31" s="699">
        <f t="shared" ref="M31:M32" si="7">SUM(J31:K31)</f>
        <v>0</v>
      </c>
      <c r="N31" s="244">
        <v>0</v>
      </c>
      <c r="O31" s="244">
        <v>0</v>
      </c>
      <c r="P31" s="199">
        <f>SUM(N31:O31)</f>
        <v>0</v>
      </c>
      <c r="Q31" s="372" t="s">
        <v>23</v>
      </c>
      <c r="R31" s="372" t="s">
        <v>23</v>
      </c>
      <c r="S31" s="372" t="s">
        <v>23</v>
      </c>
      <c r="T31" s="372" t="s">
        <v>23</v>
      </c>
      <c r="U31" s="372" t="s">
        <v>23</v>
      </c>
      <c r="V31" s="372" t="s">
        <v>23</v>
      </c>
      <c r="W31" s="372" t="s">
        <v>23</v>
      </c>
      <c r="X31" s="372" t="s">
        <v>23</v>
      </c>
      <c r="Y31" s="372" t="s">
        <v>23</v>
      </c>
      <c r="Z31" s="372" t="s">
        <v>23</v>
      </c>
      <c r="AA31" s="372" t="s">
        <v>23</v>
      </c>
      <c r="AB31" s="372" t="s">
        <v>23</v>
      </c>
      <c r="AC31" s="372" t="s">
        <v>23</v>
      </c>
      <c r="AD31" s="372" t="s">
        <v>23</v>
      </c>
      <c r="AE31" s="372" t="s">
        <v>23</v>
      </c>
      <c r="AF31" s="372" t="s">
        <v>23</v>
      </c>
      <c r="AG31" s="372" t="s">
        <v>23</v>
      </c>
      <c r="AH31" s="372" t="s">
        <v>23</v>
      </c>
      <c r="AI31" s="62"/>
    </row>
    <row r="32" spans="2:35" ht="26.85" customHeight="1" x14ac:dyDescent="0.25">
      <c r="B32" s="350" t="s">
        <v>110</v>
      </c>
      <c r="C32" s="349"/>
      <c r="D32" s="180" t="s">
        <v>25</v>
      </c>
      <c r="E32" s="180"/>
      <c r="F32" s="750" t="s">
        <v>23</v>
      </c>
      <c r="G32" s="750" t="s">
        <v>23</v>
      </c>
      <c r="H32" s="750" t="s">
        <v>23</v>
      </c>
      <c r="I32" s="456">
        <v>0</v>
      </c>
      <c r="J32" s="721" t="s">
        <v>23</v>
      </c>
      <c r="K32" s="721" t="s">
        <v>23</v>
      </c>
      <c r="L32" s="721" t="s">
        <v>23</v>
      </c>
      <c r="M32" s="699">
        <f t="shared" si="7"/>
        <v>0</v>
      </c>
      <c r="N32" s="244">
        <v>0</v>
      </c>
      <c r="O32" s="244">
        <v>0</v>
      </c>
      <c r="P32" s="199">
        <f>SUM(N32:O32)</f>
        <v>0</v>
      </c>
      <c r="Q32" s="372" t="s">
        <v>23</v>
      </c>
      <c r="R32" s="372" t="s">
        <v>23</v>
      </c>
      <c r="S32" s="372" t="s">
        <v>23</v>
      </c>
      <c r="T32" s="372" t="s">
        <v>23</v>
      </c>
      <c r="U32" s="372" t="s">
        <v>23</v>
      </c>
      <c r="V32" s="372" t="s">
        <v>23</v>
      </c>
      <c r="W32" s="372" t="s">
        <v>23</v>
      </c>
      <c r="X32" s="372" t="s">
        <v>23</v>
      </c>
      <c r="Y32" s="372" t="s">
        <v>23</v>
      </c>
      <c r="Z32" s="372" t="s">
        <v>23</v>
      </c>
      <c r="AA32" s="372" t="s">
        <v>23</v>
      </c>
      <c r="AB32" s="372" t="s">
        <v>23</v>
      </c>
      <c r="AC32" s="372" t="s">
        <v>23</v>
      </c>
      <c r="AD32" s="372" t="s">
        <v>23</v>
      </c>
      <c r="AE32" s="372" t="s">
        <v>23</v>
      </c>
      <c r="AF32" s="372" t="s">
        <v>23</v>
      </c>
      <c r="AG32" s="372" t="s">
        <v>23</v>
      </c>
      <c r="AH32" s="372" t="s">
        <v>23</v>
      </c>
      <c r="AI32" s="62"/>
    </row>
    <row r="33" spans="2:35" ht="26.85" customHeight="1" x14ac:dyDescent="0.25">
      <c r="B33" s="231" t="s">
        <v>102</v>
      </c>
      <c r="C33" s="198"/>
      <c r="D33" s="180" t="s">
        <v>31</v>
      </c>
      <c r="E33" s="180"/>
      <c r="F33" s="750">
        <v>0.19556127372145385</v>
      </c>
      <c r="G33" s="750">
        <v>0.80250884528787392</v>
      </c>
      <c r="H33" s="750">
        <v>1.9298809906722419E-3</v>
      </c>
      <c r="I33" s="458">
        <v>1</v>
      </c>
      <c r="J33" s="721">
        <v>0.18624547548535703</v>
      </c>
      <c r="K33" s="721">
        <v>0.81178019085225406</v>
      </c>
      <c r="L33" s="721">
        <v>1.9743336623889436E-3</v>
      </c>
      <c r="M33" s="707">
        <f>SUM(J33:L33)</f>
        <v>1</v>
      </c>
      <c r="N33" s="209">
        <v>0.17600550017188038</v>
      </c>
      <c r="O33" s="209">
        <v>0.82399449982811968</v>
      </c>
      <c r="P33" s="211">
        <f>SUM(N33:O33)</f>
        <v>1</v>
      </c>
      <c r="Q33" s="381">
        <v>0.16800000000000001</v>
      </c>
      <c r="R33" s="381">
        <v>0.83199999999999996</v>
      </c>
      <c r="S33" s="382">
        <v>1</v>
      </c>
      <c r="T33" s="222">
        <f t="shared" ref="T33:AG33" si="8">SUM(T17:T23)</f>
        <v>0.15870000000000001</v>
      </c>
      <c r="U33" s="222">
        <f t="shared" si="8"/>
        <v>0.84130000000000005</v>
      </c>
      <c r="V33" s="222">
        <f t="shared" si="8"/>
        <v>1</v>
      </c>
      <c r="W33" s="222">
        <f t="shared" si="8"/>
        <v>0.16720000000000002</v>
      </c>
      <c r="X33" s="222">
        <f t="shared" si="8"/>
        <v>0.83240000000000003</v>
      </c>
      <c r="Y33" s="222">
        <f t="shared" si="8"/>
        <v>0.99960000000000004</v>
      </c>
      <c r="Z33" s="222">
        <f t="shared" si="8"/>
        <v>0.15930551325007614</v>
      </c>
      <c r="AA33" s="222">
        <f t="shared" si="8"/>
        <v>0.84069448674992386</v>
      </c>
      <c r="AB33" s="222">
        <f t="shared" si="8"/>
        <v>1</v>
      </c>
      <c r="AC33" s="381">
        <f t="shared" si="8"/>
        <v>0.15551067512983266</v>
      </c>
      <c r="AD33" s="381">
        <f t="shared" si="8"/>
        <v>0.84448932487016726</v>
      </c>
      <c r="AE33" s="381">
        <f t="shared" si="8"/>
        <v>1</v>
      </c>
      <c r="AF33" s="381">
        <f t="shared" si="8"/>
        <v>0.16484118291347205</v>
      </c>
      <c r="AG33" s="381">
        <f t="shared" si="8"/>
        <v>0.83515881708652795</v>
      </c>
      <c r="AH33" s="382">
        <f t="shared" si="3"/>
        <v>1</v>
      </c>
      <c r="AI33" s="61"/>
    </row>
    <row r="34" spans="2:35" ht="26.85" customHeight="1" x14ac:dyDescent="0.25">
      <c r="B34" s="368" t="s">
        <v>116</v>
      </c>
      <c r="C34" s="291"/>
      <c r="D34" s="10"/>
      <c r="E34" s="10"/>
      <c r="F34" s="529"/>
      <c r="G34" s="529"/>
      <c r="H34" s="529"/>
      <c r="I34" s="530"/>
      <c r="J34" s="710"/>
      <c r="K34" s="710"/>
      <c r="L34" s="710"/>
      <c r="M34" s="711"/>
      <c r="N34" s="531"/>
      <c r="O34" s="342"/>
      <c r="P34" s="282"/>
      <c r="Q34" s="489"/>
      <c r="R34" s="489"/>
      <c r="S34" s="490"/>
      <c r="T34" s="491"/>
      <c r="U34" s="491"/>
      <c r="V34" s="492"/>
      <c r="W34" s="491"/>
      <c r="X34" s="491"/>
      <c r="Y34" s="492"/>
      <c r="Z34" s="491"/>
      <c r="AA34" s="491"/>
      <c r="AB34" s="492"/>
      <c r="AC34" s="489"/>
      <c r="AD34" s="489"/>
      <c r="AE34" s="490"/>
      <c r="AF34" s="489"/>
      <c r="AG34" s="489"/>
      <c r="AH34" s="490"/>
      <c r="AI34" s="61"/>
    </row>
    <row r="35" spans="2:35" s="28" customFormat="1" ht="50.1" customHeight="1" x14ac:dyDescent="0.25">
      <c r="B35" s="24"/>
      <c r="C35" s="24"/>
      <c r="D35" s="24"/>
      <c r="E35" s="24"/>
      <c r="F35" s="43"/>
      <c r="G35" s="43"/>
      <c r="H35" s="43"/>
      <c r="I35" s="43"/>
      <c r="J35" s="44"/>
      <c r="K35" s="44"/>
      <c r="L35" s="44"/>
      <c r="M35" s="44"/>
      <c r="N35" s="281"/>
      <c r="O35" s="281"/>
      <c r="P35" s="282"/>
      <c r="Q35" s="283"/>
      <c r="R35" s="283"/>
      <c r="S35" s="284"/>
      <c r="T35" s="283"/>
      <c r="U35" s="283"/>
      <c r="V35" s="283"/>
      <c r="W35" s="283"/>
      <c r="X35" s="283"/>
      <c r="Y35" s="283"/>
      <c r="Z35" s="283"/>
      <c r="AA35" s="283"/>
      <c r="AB35" s="283"/>
      <c r="AC35" s="283"/>
      <c r="AD35" s="283"/>
      <c r="AE35" s="283"/>
      <c r="AF35" s="283"/>
      <c r="AG35" s="283"/>
      <c r="AH35" s="283"/>
      <c r="AI35" s="61"/>
    </row>
    <row r="36" spans="2:35" s="28" customFormat="1" ht="26.85" customHeight="1" x14ac:dyDescent="0.2">
      <c r="B36" s="6" t="s">
        <v>117</v>
      </c>
      <c r="C36" s="6"/>
      <c r="D36" s="7" t="s">
        <v>9</v>
      </c>
      <c r="E36" s="7"/>
      <c r="F36" s="930" t="s">
        <v>10</v>
      </c>
      <c r="G36" s="930"/>
      <c r="H36" s="930"/>
      <c r="I36" s="930"/>
      <c r="J36" s="930" t="s">
        <v>11</v>
      </c>
      <c r="K36" s="930"/>
      <c r="L36" s="930"/>
      <c r="M36" s="930"/>
      <c r="N36" s="920" t="s">
        <v>12</v>
      </c>
      <c r="O36" s="920"/>
      <c r="P36" s="920"/>
      <c r="Q36" s="920" t="s">
        <v>13</v>
      </c>
      <c r="R36" s="920"/>
      <c r="S36" s="920"/>
      <c r="T36" s="920" t="s">
        <v>14</v>
      </c>
      <c r="U36" s="920"/>
      <c r="V36" s="920"/>
      <c r="W36" s="920" t="s">
        <v>15</v>
      </c>
      <c r="X36" s="920"/>
      <c r="Y36" s="920"/>
      <c r="Z36" s="920" t="s">
        <v>16</v>
      </c>
      <c r="AA36" s="920"/>
      <c r="AB36" s="920"/>
      <c r="AC36" s="920" t="s">
        <v>17</v>
      </c>
      <c r="AD36" s="920"/>
      <c r="AE36" s="920"/>
      <c r="AF36" s="920" t="s">
        <v>18</v>
      </c>
      <c r="AG36" s="920"/>
      <c r="AH36" s="920"/>
      <c r="AI36" s="61"/>
    </row>
    <row r="37" spans="2:35" s="28" customFormat="1" ht="26.85" customHeight="1" x14ac:dyDescent="0.25">
      <c r="B37" s="231"/>
      <c r="C37" s="231"/>
      <c r="D37" s="180"/>
      <c r="E37" s="180"/>
      <c r="F37" s="182" t="s">
        <v>99</v>
      </c>
      <c r="G37" s="182" t="s">
        <v>100</v>
      </c>
      <c r="H37" s="532" t="s">
        <v>101</v>
      </c>
      <c r="I37" s="182" t="s">
        <v>102</v>
      </c>
      <c r="J37" s="452" t="s">
        <v>99</v>
      </c>
      <c r="K37" s="452" t="s">
        <v>100</v>
      </c>
      <c r="L37" s="690" t="s">
        <v>101</v>
      </c>
      <c r="M37" s="452" t="s">
        <v>102</v>
      </c>
      <c r="N37" s="183" t="s">
        <v>99</v>
      </c>
      <c r="O37" s="183" t="s">
        <v>100</v>
      </c>
      <c r="P37" s="183" t="s">
        <v>102</v>
      </c>
      <c r="Q37" s="183" t="s">
        <v>99</v>
      </c>
      <c r="R37" s="183" t="s">
        <v>100</v>
      </c>
      <c r="S37" s="183" t="s">
        <v>102</v>
      </c>
      <c r="T37" s="183" t="s">
        <v>99</v>
      </c>
      <c r="U37" s="183" t="s">
        <v>100</v>
      </c>
      <c r="V37" s="183" t="s">
        <v>102</v>
      </c>
      <c r="W37" s="183" t="s">
        <v>99</v>
      </c>
      <c r="X37" s="183" t="s">
        <v>100</v>
      </c>
      <c r="Y37" s="183" t="s">
        <v>102</v>
      </c>
      <c r="Z37" s="183" t="s">
        <v>99</v>
      </c>
      <c r="AA37" s="183" t="s">
        <v>100</v>
      </c>
      <c r="AB37" s="183" t="s">
        <v>102</v>
      </c>
      <c r="AC37" s="183" t="s">
        <v>99</v>
      </c>
      <c r="AD37" s="183" t="s">
        <v>100</v>
      </c>
      <c r="AE37" s="183" t="s">
        <v>102</v>
      </c>
      <c r="AF37" s="183" t="s">
        <v>99</v>
      </c>
      <c r="AG37" s="183" t="s">
        <v>100</v>
      </c>
      <c r="AH37" s="183" t="s">
        <v>102</v>
      </c>
      <c r="AI37" s="61"/>
    </row>
    <row r="38" spans="2:35" ht="26.85" customHeight="1" x14ac:dyDescent="0.25">
      <c r="B38" s="17" t="s">
        <v>118</v>
      </c>
      <c r="C38" s="285"/>
      <c r="D38" s="10" t="s">
        <v>25</v>
      </c>
      <c r="E38" s="10"/>
      <c r="F38" s="762">
        <v>548</v>
      </c>
      <c r="G38" s="763">
        <v>1291</v>
      </c>
      <c r="H38" s="762">
        <v>4</v>
      </c>
      <c r="I38" s="764">
        <f>SUM(F38:H38)</f>
        <v>1843</v>
      </c>
      <c r="J38" s="726">
        <v>519</v>
      </c>
      <c r="K38" s="727">
        <v>1276</v>
      </c>
      <c r="L38" s="726">
        <v>5</v>
      </c>
      <c r="M38" s="712">
        <f>SUM(J38:L38)</f>
        <v>1800</v>
      </c>
      <c r="N38" s="378" t="s">
        <v>23</v>
      </c>
      <c r="O38" s="378" t="s">
        <v>23</v>
      </c>
      <c r="P38" s="378" t="s">
        <v>23</v>
      </c>
      <c r="Q38" s="379" t="s">
        <v>23</v>
      </c>
      <c r="R38" s="379" t="s">
        <v>23</v>
      </c>
      <c r="S38" s="379" t="s">
        <v>23</v>
      </c>
      <c r="T38" s="379" t="s">
        <v>23</v>
      </c>
      <c r="U38" s="379" t="s">
        <v>23</v>
      </c>
      <c r="V38" s="379" t="s">
        <v>23</v>
      </c>
      <c r="W38" s="379" t="s">
        <v>23</v>
      </c>
      <c r="X38" s="379" t="s">
        <v>23</v>
      </c>
      <c r="Y38" s="379" t="s">
        <v>23</v>
      </c>
      <c r="Z38" s="379" t="s">
        <v>23</v>
      </c>
      <c r="AA38" s="379" t="s">
        <v>23</v>
      </c>
      <c r="AB38" s="379" t="s">
        <v>23</v>
      </c>
      <c r="AC38" s="379" t="s">
        <v>23</v>
      </c>
      <c r="AD38" s="379" t="s">
        <v>23</v>
      </c>
      <c r="AE38" s="379" t="s">
        <v>23</v>
      </c>
      <c r="AF38" s="379" t="s">
        <v>23</v>
      </c>
      <c r="AG38" s="379" t="s">
        <v>23</v>
      </c>
      <c r="AH38" s="379" t="s">
        <v>23</v>
      </c>
      <c r="AI38" s="61"/>
    </row>
    <row r="39" spans="2:35" ht="26.85" customHeight="1" x14ac:dyDescent="0.25">
      <c r="B39" s="193" t="s">
        <v>119</v>
      </c>
      <c r="C39" s="188"/>
      <c r="D39" s="180" t="s">
        <v>25</v>
      </c>
      <c r="E39" s="180"/>
      <c r="F39" s="751">
        <v>60</v>
      </c>
      <c r="G39" s="757">
        <v>1204</v>
      </c>
      <c r="H39" s="751">
        <v>2</v>
      </c>
      <c r="I39" s="764">
        <f>SUM(F39:H39)</f>
        <v>1266</v>
      </c>
      <c r="J39" s="720">
        <v>47</v>
      </c>
      <c r="K39" s="717">
        <v>1191</v>
      </c>
      <c r="L39" s="720">
        <v>1</v>
      </c>
      <c r="M39" s="712">
        <f>SUM(J39:L39)</f>
        <v>1239</v>
      </c>
      <c r="N39" s="380" t="s">
        <v>23</v>
      </c>
      <c r="O39" s="380" t="s">
        <v>23</v>
      </c>
      <c r="P39" s="380" t="s">
        <v>23</v>
      </c>
      <c r="Q39" s="372" t="s">
        <v>23</v>
      </c>
      <c r="R39" s="372" t="s">
        <v>23</v>
      </c>
      <c r="S39" s="372" t="s">
        <v>23</v>
      </c>
      <c r="T39" s="372" t="s">
        <v>23</v>
      </c>
      <c r="U39" s="372" t="s">
        <v>23</v>
      </c>
      <c r="V39" s="372" t="s">
        <v>23</v>
      </c>
      <c r="W39" s="372" t="s">
        <v>23</v>
      </c>
      <c r="X39" s="372" t="s">
        <v>23</v>
      </c>
      <c r="Y39" s="372" t="s">
        <v>23</v>
      </c>
      <c r="Z39" s="372" t="s">
        <v>23</v>
      </c>
      <c r="AA39" s="372" t="s">
        <v>23</v>
      </c>
      <c r="AB39" s="372" t="s">
        <v>23</v>
      </c>
      <c r="AC39" s="372" t="s">
        <v>23</v>
      </c>
      <c r="AD39" s="372" t="s">
        <v>23</v>
      </c>
      <c r="AE39" s="372" t="s">
        <v>23</v>
      </c>
      <c r="AF39" s="372" t="s">
        <v>23</v>
      </c>
      <c r="AG39" s="372" t="s">
        <v>23</v>
      </c>
      <c r="AH39" s="372" t="s">
        <v>23</v>
      </c>
      <c r="AI39" s="63"/>
    </row>
    <row r="40" spans="2:35" ht="50.1" customHeight="1" x14ac:dyDescent="0.2">
      <c r="B40" s="188"/>
      <c r="C40" s="188"/>
      <c r="D40" s="190"/>
      <c r="E40" s="190"/>
      <c r="F40" s="262"/>
      <c r="G40" s="262"/>
      <c r="H40" s="262"/>
      <c r="I40" s="262"/>
      <c r="J40" s="653"/>
      <c r="K40" s="653"/>
      <c r="L40" s="653"/>
      <c r="M40" s="653"/>
      <c r="N40" s="212"/>
      <c r="O40" s="212"/>
      <c r="P40" s="211"/>
      <c r="Q40" s="213"/>
      <c r="R40" s="213"/>
      <c r="S40" s="214"/>
      <c r="T40" s="215"/>
      <c r="U40" s="215"/>
      <c r="V40" s="215"/>
      <c r="W40" s="215"/>
      <c r="X40" s="215"/>
      <c r="Y40" s="215"/>
      <c r="Z40" s="215"/>
      <c r="AA40" s="215"/>
      <c r="AB40" s="215"/>
      <c r="AC40" s="213"/>
      <c r="AD40" s="213"/>
      <c r="AE40" s="213"/>
      <c r="AF40" s="213"/>
      <c r="AG40" s="213"/>
      <c r="AH40" s="213"/>
      <c r="AI40" s="63"/>
    </row>
    <row r="41" spans="2:35" ht="26.85" customHeight="1" x14ac:dyDescent="0.35">
      <c r="B41" s="6" t="s">
        <v>120</v>
      </c>
      <c r="C41" s="305"/>
      <c r="D41" s="7" t="s">
        <v>9</v>
      </c>
      <c r="E41" s="7"/>
      <c r="F41" s="930" t="s">
        <v>10</v>
      </c>
      <c r="G41" s="930"/>
      <c r="H41" s="930"/>
      <c r="I41" s="930"/>
      <c r="J41" s="930" t="s">
        <v>11</v>
      </c>
      <c r="K41" s="930"/>
      <c r="L41" s="930"/>
      <c r="M41" s="930"/>
      <c r="N41" s="920" t="s">
        <v>12</v>
      </c>
      <c r="O41" s="920"/>
      <c r="P41" s="920"/>
      <c r="Q41" s="920" t="s">
        <v>13</v>
      </c>
      <c r="R41" s="920"/>
      <c r="S41" s="920"/>
      <c r="T41" s="920" t="s">
        <v>14</v>
      </c>
      <c r="U41" s="920"/>
      <c r="V41" s="920"/>
      <c r="W41" s="920" t="s">
        <v>15</v>
      </c>
      <c r="X41" s="920"/>
      <c r="Y41" s="920"/>
      <c r="Z41" s="920" t="s">
        <v>16</v>
      </c>
      <c r="AA41" s="920"/>
      <c r="AB41" s="920"/>
      <c r="AC41" s="920" t="s">
        <v>17</v>
      </c>
      <c r="AD41" s="920"/>
      <c r="AE41" s="920"/>
      <c r="AF41" s="920" t="s">
        <v>18</v>
      </c>
      <c r="AG41" s="920"/>
      <c r="AH41" s="920"/>
      <c r="AI41" s="63"/>
    </row>
    <row r="42" spans="2:35" ht="26.85" customHeight="1" x14ac:dyDescent="0.25">
      <c r="B42" s="231"/>
      <c r="C42" s="231"/>
      <c r="D42" s="180"/>
      <c r="E42" s="180"/>
      <c r="F42" s="182" t="s">
        <v>99</v>
      </c>
      <c r="G42" s="182" t="s">
        <v>100</v>
      </c>
      <c r="H42" s="532" t="s">
        <v>101</v>
      </c>
      <c r="I42" s="182" t="s">
        <v>102</v>
      </c>
      <c r="J42" s="452" t="s">
        <v>99</v>
      </c>
      <c r="K42" s="452" t="s">
        <v>100</v>
      </c>
      <c r="L42" s="690" t="s">
        <v>101</v>
      </c>
      <c r="M42" s="452" t="s">
        <v>102</v>
      </c>
      <c r="N42" s="183" t="s">
        <v>99</v>
      </c>
      <c r="O42" s="183" t="s">
        <v>100</v>
      </c>
      <c r="P42" s="183" t="s">
        <v>102</v>
      </c>
      <c r="Q42" s="183" t="s">
        <v>99</v>
      </c>
      <c r="R42" s="183" t="s">
        <v>100</v>
      </c>
      <c r="S42" s="183" t="s">
        <v>102</v>
      </c>
      <c r="T42" s="183" t="s">
        <v>99</v>
      </c>
      <c r="U42" s="183" t="s">
        <v>100</v>
      </c>
      <c r="V42" s="183" t="s">
        <v>102</v>
      </c>
      <c r="W42" s="183" t="s">
        <v>99</v>
      </c>
      <c r="X42" s="183" t="s">
        <v>100</v>
      </c>
      <c r="Y42" s="183" t="s">
        <v>102</v>
      </c>
      <c r="Z42" s="183" t="s">
        <v>99</v>
      </c>
      <c r="AA42" s="183" t="s">
        <v>100</v>
      </c>
      <c r="AB42" s="183" t="s">
        <v>102</v>
      </c>
      <c r="AC42" s="183" t="s">
        <v>99</v>
      </c>
      <c r="AD42" s="183" t="s">
        <v>100</v>
      </c>
      <c r="AE42" s="183" t="s">
        <v>102</v>
      </c>
      <c r="AF42" s="183" t="s">
        <v>99</v>
      </c>
      <c r="AG42" s="183" t="s">
        <v>100</v>
      </c>
      <c r="AH42" s="183" t="s">
        <v>102</v>
      </c>
      <c r="AI42" s="58"/>
    </row>
    <row r="43" spans="2:35" ht="26.85" customHeight="1" x14ac:dyDescent="0.25">
      <c r="B43" s="198" t="s">
        <v>198</v>
      </c>
      <c r="C43" s="198"/>
      <c r="D43" s="180" t="s">
        <v>31</v>
      </c>
      <c r="E43" s="180"/>
      <c r="F43" s="457">
        <v>0.17079446767449341</v>
      </c>
      <c r="G43" s="457">
        <v>0.75587005467996138</v>
      </c>
      <c r="H43" s="457">
        <v>1.9298809906722419E-3</v>
      </c>
      <c r="I43" s="457">
        <f>SUM(F43:H43)</f>
        <v>0.928594403345127</v>
      </c>
      <c r="J43" s="706">
        <v>0.16288252714708787</v>
      </c>
      <c r="K43" s="706">
        <v>0.76702862783810466</v>
      </c>
      <c r="L43" s="706">
        <v>1.9743336623889436E-3</v>
      </c>
      <c r="M43" s="706">
        <f>SUM(J43:L43)</f>
        <v>0.93188548864758147</v>
      </c>
      <c r="N43" s="209">
        <f>N48/P11</f>
        <v>0.15709865933310416</v>
      </c>
      <c r="O43" s="209">
        <f>O48/P11</f>
        <v>0.78308697146785833</v>
      </c>
      <c r="P43" s="211">
        <f>P48/P11</f>
        <v>0.94018563080096251</v>
      </c>
      <c r="Q43" s="376" t="s">
        <v>23</v>
      </c>
      <c r="R43" s="372" t="s">
        <v>23</v>
      </c>
      <c r="S43" s="372" t="s">
        <v>23</v>
      </c>
      <c r="T43" s="372" t="s">
        <v>23</v>
      </c>
      <c r="U43" s="372" t="s">
        <v>23</v>
      </c>
      <c r="V43" s="372" t="s">
        <v>23</v>
      </c>
      <c r="W43" s="372" t="s">
        <v>23</v>
      </c>
      <c r="X43" s="372" t="s">
        <v>23</v>
      </c>
      <c r="Y43" s="372" t="s">
        <v>23</v>
      </c>
      <c r="Z43" s="372" t="s">
        <v>23</v>
      </c>
      <c r="AA43" s="372" t="s">
        <v>23</v>
      </c>
      <c r="AB43" s="372" t="s">
        <v>23</v>
      </c>
      <c r="AC43" s="372" t="s">
        <v>23</v>
      </c>
      <c r="AD43" s="372" t="s">
        <v>23</v>
      </c>
      <c r="AE43" s="372" t="s">
        <v>23</v>
      </c>
      <c r="AF43" s="372" t="s">
        <v>23</v>
      </c>
      <c r="AG43" s="372" t="s">
        <v>23</v>
      </c>
      <c r="AH43" s="372" t="s">
        <v>23</v>
      </c>
      <c r="AI43" s="62"/>
    </row>
    <row r="44" spans="2:35" ht="26.85" customHeight="1" x14ac:dyDescent="0.25">
      <c r="B44" s="347" t="s">
        <v>108</v>
      </c>
      <c r="C44" s="347"/>
      <c r="D44" s="180" t="s">
        <v>25</v>
      </c>
      <c r="E44" s="180"/>
      <c r="F44" s="751">
        <v>214</v>
      </c>
      <c r="G44" s="751">
        <v>792</v>
      </c>
      <c r="H44" s="750" t="s">
        <v>23</v>
      </c>
      <c r="I44" s="456">
        <f t="shared" ref="I44:I46" si="9">SUM(F44:G44)</f>
        <v>1006</v>
      </c>
      <c r="J44" s="720">
        <v>203</v>
      </c>
      <c r="K44" s="720">
        <v>784</v>
      </c>
      <c r="L44" s="721" t="s">
        <v>23</v>
      </c>
      <c r="M44" s="699">
        <f t="shared" ref="M44:M46" si="10">SUM(J44:K44)</f>
        <v>987</v>
      </c>
      <c r="N44" s="216">
        <v>178</v>
      </c>
      <c r="O44" s="216">
        <v>758</v>
      </c>
      <c r="P44" s="216">
        <f>SUM(N44:O44)</f>
        <v>936</v>
      </c>
      <c r="Q44" s="372" t="s">
        <v>23</v>
      </c>
      <c r="R44" s="372" t="s">
        <v>23</v>
      </c>
      <c r="S44" s="372" t="s">
        <v>23</v>
      </c>
      <c r="T44" s="372" t="s">
        <v>23</v>
      </c>
      <c r="U44" s="372" t="s">
        <v>23</v>
      </c>
      <c r="V44" s="372" t="s">
        <v>23</v>
      </c>
      <c r="W44" s="372" t="s">
        <v>23</v>
      </c>
      <c r="X44" s="372" t="s">
        <v>23</v>
      </c>
      <c r="Y44" s="372" t="s">
        <v>23</v>
      </c>
      <c r="Z44" s="372" t="s">
        <v>23</v>
      </c>
      <c r="AA44" s="372" t="s">
        <v>23</v>
      </c>
      <c r="AB44" s="372" t="s">
        <v>23</v>
      </c>
      <c r="AC44" s="372" t="s">
        <v>23</v>
      </c>
      <c r="AD44" s="372" t="s">
        <v>23</v>
      </c>
      <c r="AE44" s="372" t="s">
        <v>23</v>
      </c>
      <c r="AF44" s="372" t="s">
        <v>23</v>
      </c>
      <c r="AG44" s="372" t="s">
        <v>23</v>
      </c>
      <c r="AH44" s="372" t="s">
        <v>23</v>
      </c>
      <c r="AI44" s="62"/>
    </row>
    <row r="45" spans="2:35" ht="26.85" customHeight="1" x14ac:dyDescent="0.25">
      <c r="B45" s="347" t="s">
        <v>109</v>
      </c>
      <c r="C45" s="347"/>
      <c r="D45" s="180" t="s">
        <v>25</v>
      </c>
      <c r="E45" s="180"/>
      <c r="F45" s="751">
        <v>316</v>
      </c>
      <c r="G45" s="757">
        <v>1558</v>
      </c>
      <c r="H45" s="750" t="s">
        <v>23</v>
      </c>
      <c r="I45" s="756">
        <f t="shared" si="9"/>
        <v>1874</v>
      </c>
      <c r="J45" s="720">
        <v>291</v>
      </c>
      <c r="K45" s="717">
        <v>1547</v>
      </c>
      <c r="L45" s="721" t="s">
        <v>23</v>
      </c>
      <c r="M45" s="700">
        <f t="shared" si="10"/>
        <v>1838</v>
      </c>
      <c r="N45" s="216">
        <v>278</v>
      </c>
      <c r="O45" s="192">
        <v>1519</v>
      </c>
      <c r="P45" s="192">
        <f>SUM(N45:O45)</f>
        <v>1797</v>
      </c>
      <c r="Q45" s="372" t="s">
        <v>23</v>
      </c>
      <c r="R45" s="372" t="s">
        <v>23</v>
      </c>
      <c r="S45" s="372" t="s">
        <v>23</v>
      </c>
      <c r="T45" s="372" t="s">
        <v>23</v>
      </c>
      <c r="U45" s="372" t="s">
        <v>23</v>
      </c>
      <c r="V45" s="372" t="s">
        <v>23</v>
      </c>
      <c r="W45" s="372" t="s">
        <v>23</v>
      </c>
      <c r="X45" s="372" t="s">
        <v>23</v>
      </c>
      <c r="Y45" s="372" t="s">
        <v>23</v>
      </c>
      <c r="Z45" s="372" t="s">
        <v>23</v>
      </c>
      <c r="AA45" s="372" t="s">
        <v>23</v>
      </c>
      <c r="AB45" s="372" t="s">
        <v>23</v>
      </c>
      <c r="AC45" s="372" t="s">
        <v>23</v>
      </c>
      <c r="AD45" s="372" t="s">
        <v>23</v>
      </c>
      <c r="AE45" s="372" t="s">
        <v>23</v>
      </c>
      <c r="AF45" s="372" t="s">
        <v>23</v>
      </c>
      <c r="AG45" s="372" t="s">
        <v>23</v>
      </c>
      <c r="AH45" s="372" t="s">
        <v>23</v>
      </c>
      <c r="AI45" s="62"/>
    </row>
    <row r="46" spans="2:35" ht="26.85" customHeight="1" x14ac:dyDescent="0.25">
      <c r="B46" s="345" t="s">
        <v>110</v>
      </c>
      <c r="C46" s="347"/>
      <c r="D46" s="180" t="s">
        <v>25</v>
      </c>
      <c r="E46" s="180"/>
      <c r="F46" s="751">
        <v>1</v>
      </c>
      <c r="G46" s="750" t="s">
        <v>23</v>
      </c>
      <c r="H46" s="750" t="s">
        <v>23</v>
      </c>
      <c r="I46" s="456">
        <f t="shared" si="9"/>
        <v>1</v>
      </c>
      <c r="J46" s="720">
        <v>1</v>
      </c>
      <c r="K46" s="721" t="s">
        <v>23</v>
      </c>
      <c r="L46" s="721" t="s">
        <v>23</v>
      </c>
      <c r="M46" s="699">
        <f t="shared" si="10"/>
        <v>1</v>
      </c>
      <c r="N46" s="377">
        <v>1</v>
      </c>
      <c r="O46" s="377">
        <v>1</v>
      </c>
      <c r="P46" s="377">
        <f>SUM(N46:O46)</f>
        <v>2</v>
      </c>
      <c r="Q46" s="372" t="s">
        <v>23</v>
      </c>
      <c r="R46" s="372" t="s">
        <v>23</v>
      </c>
      <c r="S46" s="372" t="s">
        <v>23</v>
      </c>
      <c r="T46" s="372" t="s">
        <v>23</v>
      </c>
      <c r="U46" s="372" t="s">
        <v>23</v>
      </c>
      <c r="V46" s="372" t="s">
        <v>23</v>
      </c>
      <c r="W46" s="372" t="s">
        <v>23</v>
      </c>
      <c r="X46" s="372" t="s">
        <v>23</v>
      </c>
      <c r="Y46" s="372" t="s">
        <v>23</v>
      </c>
      <c r="Z46" s="372" t="s">
        <v>23</v>
      </c>
      <c r="AA46" s="372" t="s">
        <v>23</v>
      </c>
      <c r="AB46" s="372" t="s">
        <v>23</v>
      </c>
      <c r="AC46" s="372" t="s">
        <v>23</v>
      </c>
      <c r="AD46" s="372" t="s">
        <v>23</v>
      </c>
      <c r="AE46" s="372" t="s">
        <v>23</v>
      </c>
      <c r="AF46" s="372" t="s">
        <v>23</v>
      </c>
      <c r="AG46" s="372" t="s">
        <v>23</v>
      </c>
      <c r="AH46" s="372" t="s">
        <v>23</v>
      </c>
      <c r="AI46" s="62"/>
    </row>
    <row r="47" spans="2:35" ht="26.85" customHeight="1" x14ac:dyDescent="0.25">
      <c r="B47" s="345" t="s">
        <v>199</v>
      </c>
      <c r="C47" s="344"/>
      <c r="D47" s="180" t="s">
        <v>25</v>
      </c>
      <c r="E47" s="180"/>
      <c r="F47" s="750" t="s">
        <v>23</v>
      </c>
      <c r="G47" s="750" t="s">
        <v>23</v>
      </c>
      <c r="H47" s="456">
        <v>6</v>
      </c>
      <c r="I47" s="456">
        <f>H47</f>
        <v>6</v>
      </c>
      <c r="J47" s="721" t="s">
        <v>23</v>
      </c>
      <c r="K47" s="721" t="s">
        <v>23</v>
      </c>
      <c r="L47" s="699">
        <v>6</v>
      </c>
      <c r="M47" s="699">
        <f>L47</f>
        <v>6</v>
      </c>
      <c r="N47" s="372" t="s">
        <v>23</v>
      </c>
      <c r="O47" s="372" t="s">
        <v>23</v>
      </c>
      <c r="P47" s="372" t="s">
        <v>23</v>
      </c>
      <c r="Q47" s="372" t="s">
        <v>23</v>
      </c>
      <c r="R47" s="372" t="s">
        <v>23</v>
      </c>
      <c r="S47" s="372" t="s">
        <v>23</v>
      </c>
      <c r="T47" s="372" t="s">
        <v>23</v>
      </c>
      <c r="U47" s="372" t="s">
        <v>23</v>
      </c>
      <c r="V47" s="372" t="s">
        <v>23</v>
      </c>
      <c r="W47" s="372" t="s">
        <v>23</v>
      </c>
      <c r="X47" s="372" t="s">
        <v>23</v>
      </c>
      <c r="Y47" s="372" t="s">
        <v>23</v>
      </c>
      <c r="Z47" s="372" t="s">
        <v>23</v>
      </c>
      <c r="AA47" s="372" t="s">
        <v>23</v>
      </c>
      <c r="AB47" s="372" t="s">
        <v>23</v>
      </c>
      <c r="AC47" s="372" t="s">
        <v>23</v>
      </c>
      <c r="AD47" s="372" t="s">
        <v>23</v>
      </c>
      <c r="AE47" s="372" t="s">
        <v>23</v>
      </c>
      <c r="AF47" s="372" t="s">
        <v>23</v>
      </c>
      <c r="AG47" s="372" t="s">
        <v>23</v>
      </c>
      <c r="AH47" s="372" t="s">
        <v>23</v>
      </c>
      <c r="AI47" s="62"/>
    </row>
    <row r="48" spans="2:35" ht="26.85" customHeight="1" x14ac:dyDescent="0.25">
      <c r="B48" s="345" t="s">
        <v>102</v>
      </c>
      <c r="C48" s="347"/>
      <c r="D48" s="180" t="s">
        <v>25</v>
      </c>
      <c r="E48" s="180"/>
      <c r="F48" s="456">
        <f>SUM(F44:F46)</f>
        <v>531</v>
      </c>
      <c r="G48" s="756">
        <f>SUM(G44:G46)</f>
        <v>2350</v>
      </c>
      <c r="H48" s="456">
        <f>H47</f>
        <v>6</v>
      </c>
      <c r="I48" s="756">
        <f>SUM(I44:I47)</f>
        <v>2887</v>
      </c>
      <c r="J48" s="699">
        <f>SUM(J44:J46)</f>
        <v>495</v>
      </c>
      <c r="K48" s="700">
        <f>SUM(K44:K46)</f>
        <v>2331</v>
      </c>
      <c r="L48" s="699">
        <f>L47</f>
        <v>6</v>
      </c>
      <c r="M48" s="700">
        <f>SUM(M44:M47)</f>
        <v>2832</v>
      </c>
      <c r="N48" s="192">
        <f>SUM(N44:N46)</f>
        <v>457</v>
      </c>
      <c r="O48" s="192">
        <f>SUM(O44:O46)</f>
        <v>2278</v>
      </c>
      <c r="P48" s="192">
        <f>SUM(P44:P46)</f>
        <v>2735</v>
      </c>
      <c r="Q48" s="372" t="s">
        <v>23</v>
      </c>
      <c r="R48" s="372" t="s">
        <v>23</v>
      </c>
      <c r="S48" s="372" t="s">
        <v>23</v>
      </c>
      <c r="T48" s="372" t="s">
        <v>23</v>
      </c>
      <c r="U48" s="372" t="s">
        <v>23</v>
      </c>
      <c r="V48" s="372" t="s">
        <v>23</v>
      </c>
      <c r="W48" s="372" t="s">
        <v>23</v>
      </c>
      <c r="X48" s="372" t="s">
        <v>23</v>
      </c>
      <c r="Y48" s="372" t="s">
        <v>23</v>
      </c>
      <c r="Z48" s="372" t="s">
        <v>23</v>
      </c>
      <c r="AA48" s="372" t="s">
        <v>23</v>
      </c>
      <c r="AB48" s="372" t="s">
        <v>23</v>
      </c>
      <c r="AC48" s="372" t="s">
        <v>23</v>
      </c>
      <c r="AD48" s="372" t="s">
        <v>23</v>
      </c>
      <c r="AE48" s="372" t="s">
        <v>23</v>
      </c>
      <c r="AF48" s="372" t="s">
        <v>23</v>
      </c>
      <c r="AG48" s="372" t="s">
        <v>23</v>
      </c>
      <c r="AH48" s="372" t="s">
        <v>23</v>
      </c>
      <c r="AI48" s="62"/>
    </row>
    <row r="49" spans="2:35" ht="26.85" customHeight="1" x14ac:dyDescent="0.25">
      <c r="B49" s="231" t="s">
        <v>122</v>
      </c>
      <c r="C49" s="198"/>
      <c r="D49" s="180" t="s">
        <v>31</v>
      </c>
      <c r="E49" s="180"/>
      <c r="F49" s="758">
        <v>2.4766806046960438E-2</v>
      </c>
      <c r="G49" s="758">
        <v>4.6638790607912511E-2</v>
      </c>
      <c r="H49" s="504">
        <v>0</v>
      </c>
      <c r="I49" s="457">
        <f>SUM(F49:H49)</f>
        <v>7.1405596654872949E-2</v>
      </c>
      <c r="J49" s="719">
        <v>2.3362948338269168E-2</v>
      </c>
      <c r="K49" s="719">
        <v>4.4751563014149391E-2</v>
      </c>
      <c r="L49" s="718">
        <v>0</v>
      </c>
      <c r="M49" s="706">
        <f>SUM(J49:L49)</f>
        <v>6.8114511352418555E-2</v>
      </c>
      <c r="N49" s="209">
        <f>N54/P11</f>
        <v>1.8906840838776213E-2</v>
      </c>
      <c r="O49" s="209">
        <f>O54/P11</f>
        <v>4.0907528360261257E-2</v>
      </c>
      <c r="P49" s="211">
        <f>SUM(N49:O49)</f>
        <v>5.9814369199037473E-2</v>
      </c>
      <c r="Q49" s="372" t="s">
        <v>23</v>
      </c>
      <c r="R49" s="372" t="s">
        <v>23</v>
      </c>
      <c r="S49" s="372" t="s">
        <v>23</v>
      </c>
      <c r="T49" s="372" t="s">
        <v>23</v>
      </c>
      <c r="U49" s="372" t="s">
        <v>23</v>
      </c>
      <c r="V49" s="372" t="s">
        <v>23</v>
      </c>
      <c r="W49" s="372" t="s">
        <v>23</v>
      </c>
      <c r="X49" s="372" t="s">
        <v>23</v>
      </c>
      <c r="Y49" s="372" t="s">
        <v>23</v>
      </c>
      <c r="Z49" s="372" t="s">
        <v>23</v>
      </c>
      <c r="AA49" s="372" t="s">
        <v>23</v>
      </c>
      <c r="AB49" s="372" t="s">
        <v>23</v>
      </c>
      <c r="AC49" s="372" t="s">
        <v>23</v>
      </c>
      <c r="AD49" s="372" t="s">
        <v>23</v>
      </c>
      <c r="AE49" s="372" t="s">
        <v>23</v>
      </c>
      <c r="AF49" s="372" t="s">
        <v>23</v>
      </c>
      <c r="AG49" s="372" t="s">
        <v>23</v>
      </c>
      <c r="AH49" s="372" t="s">
        <v>23</v>
      </c>
      <c r="AI49" s="62"/>
    </row>
    <row r="50" spans="2:35" ht="26.85" customHeight="1" x14ac:dyDescent="0.25">
      <c r="B50" s="345" t="s">
        <v>108</v>
      </c>
      <c r="C50" s="347"/>
      <c r="D50" s="180" t="s">
        <v>25</v>
      </c>
      <c r="E50" s="180"/>
      <c r="F50" s="751">
        <v>30</v>
      </c>
      <c r="G50" s="751">
        <v>39</v>
      </c>
      <c r="H50" s="750" t="s">
        <v>23</v>
      </c>
      <c r="I50" s="456">
        <f t="shared" ref="I50:I51" si="11">SUM(F50:G50)</f>
        <v>69</v>
      </c>
      <c r="J50" s="720">
        <v>23</v>
      </c>
      <c r="K50" s="720">
        <v>33</v>
      </c>
      <c r="L50" s="721" t="s">
        <v>23</v>
      </c>
      <c r="M50" s="699">
        <f t="shared" ref="M50:M51" si="12">SUM(J50:K50)</f>
        <v>56</v>
      </c>
      <c r="N50" s="377">
        <v>16</v>
      </c>
      <c r="O50" s="377">
        <v>29</v>
      </c>
      <c r="P50" s="377">
        <f>SUM(N50:O50)</f>
        <v>45</v>
      </c>
      <c r="Q50" s="372" t="s">
        <v>23</v>
      </c>
      <c r="R50" s="372" t="s">
        <v>23</v>
      </c>
      <c r="S50" s="372" t="s">
        <v>23</v>
      </c>
      <c r="T50" s="372" t="s">
        <v>23</v>
      </c>
      <c r="U50" s="372" t="s">
        <v>23</v>
      </c>
      <c r="V50" s="372" t="s">
        <v>23</v>
      </c>
      <c r="W50" s="372" t="s">
        <v>23</v>
      </c>
      <c r="X50" s="372" t="s">
        <v>23</v>
      </c>
      <c r="Y50" s="372" t="s">
        <v>23</v>
      </c>
      <c r="Z50" s="372" t="s">
        <v>23</v>
      </c>
      <c r="AA50" s="372" t="s">
        <v>23</v>
      </c>
      <c r="AB50" s="372" t="s">
        <v>23</v>
      </c>
      <c r="AC50" s="372" t="s">
        <v>23</v>
      </c>
      <c r="AD50" s="372" t="s">
        <v>23</v>
      </c>
      <c r="AE50" s="372" t="s">
        <v>23</v>
      </c>
      <c r="AF50" s="372" t="s">
        <v>23</v>
      </c>
      <c r="AG50" s="372" t="s">
        <v>23</v>
      </c>
      <c r="AH50" s="372" t="s">
        <v>23</v>
      </c>
      <c r="AI50" s="62"/>
    </row>
    <row r="51" spans="2:35" ht="26.85" customHeight="1" x14ac:dyDescent="0.25">
      <c r="B51" s="345" t="s">
        <v>109</v>
      </c>
      <c r="C51" s="347"/>
      <c r="D51" s="180" t="s">
        <v>25</v>
      </c>
      <c r="E51" s="180"/>
      <c r="F51" s="751">
        <v>47</v>
      </c>
      <c r="G51" s="751">
        <v>106</v>
      </c>
      <c r="H51" s="750" t="s">
        <v>23</v>
      </c>
      <c r="I51" s="456">
        <f t="shared" si="11"/>
        <v>153</v>
      </c>
      <c r="J51" s="720">
        <v>48</v>
      </c>
      <c r="K51" s="720">
        <v>103</v>
      </c>
      <c r="L51" s="721" t="s">
        <v>23</v>
      </c>
      <c r="M51" s="699">
        <f t="shared" si="12"/>
        <v>151</v>
      </c>
      <c r="N51" s="377">
        <v>39</v>
      </c>
      <c r="O51" s="377">
        <v>90</v>
      </c>
      <c r="P51" s="377">
        <f>SUM(N51:O51)</f>
        <v>129</v>
      </c>
      <c r="Q51" s="372" t="s">
        <v>23</v>
      </c>
      <c r="R51" s="372" t="s">
        <v>23</v>
      </c>
      <c r="S51" s="372" t="s">
        <v>23</v>
      </c>
      <c r="T51" s="372" t="s">
        <v>23</v>
      </c>
      <c r="U51" s="372" t="s">
        <v>23</v>
      </c>
      <c r="V51" s="372" t="s">
        <v>23</v>
      </c>
      <c r="W51" s="372" t="s">
        <v>23</v>
      </c>
      <c r="X51" s="372" t="s">
        <v>23</v>
      </c>
      <c r="Y51" s="372" t="s">
        <v>23</v>
      </c>
      <c r="Z51" s="372" t="s">
        <v>23</v>
      </c>
      <c r="AA51" s="372" t="s">
        <v>23</v>
      </c>
      <c r="AB51" s="372" t="s">
        <v>23</v>
      </c>
      <c r="AC51" s="372" t="s">
        <v>23</v>
      </c>
      <c r="AD51" s="372" t="s">
        <v>23</v>
      </c>
      <c r="AE51" s="372" t="s">
        <v>23</v>
      </c>
      <c r="AF51" s="372" t="s">
        <v>23</v>
      </c>
      <c r="AG51" s="372" t="s">
        <v>23</v>
      </c>
      <c r="AH51" s="372" t="s">
        <v>23</v>
      </c>
      <c r="AI51" s="62"/>
    </row>
    <row r="52" spans="2:35" ht="26.85" customHeight="1" x14ac:dyDescent="0.25">
      <c r="B52" s="345" t="s">
        <v>110</v>
      </c>
      <c r="C52" s="347"/>
      <c r="D52" s="180" t="s">
        <v>25</v>
      </c>
      <c r="E52" s="180"/>
      <c r="F52" s="750" t="s">
        <v>23</v>
      </c>
      <c r="G52" s="750" t="s">
        <v>23</v>
      </c>
      <c r="H52" s="750" t="s">
        <v>23</v>
      </c>
      <c r="I52" s="750" t="s">
        <v>23</v>
      </c>
      <c r="J52" s="721" t="s">
        <v>23</v>
      </c>
      <c r="K52" s="721" t="s">
        <v>23</v>
      </c>
      <c r="L52" s="721" t="s">
        <v>23</v>
      </c>
      <c r="M52" s="699" t="str">
        <f>L52</f>
        <v>-</v>
      </c>
      <c r="N52" s="216">
        <v>0</v>
      </c>
      <c r="O52" s="216">
        <v>0</v>
      </c>
      <c r="P52" s="216">
        <v>0</v>
      </c>
      <c r="Q52" s="372" t="s">
        <v>23</v>
      </c>
      <c r="R52" s="372" t="s">
        <v>23</v>
      </c>
      <c r="S52" s="372" t="s">
        <v>23</v>
      </c>
      <c r="T52" s="372" t="s">
        <v>23</v>
      </c>
      <c r="U52" s="372" t="s">
        <v>23</v>
      </c>
      <c r="V52" s="372" t="s">
        <v>23</v>
      </c>
      <c r="W52" s="372" t="s">
        <v>23</v>
      </c>
      <c r="X52" s="372" t="s">
        <v>23</v>
      </c>
      <c r="Y52" s="372" t="s">
        <v>23</v>
      </c>
      <c r="Z52" s="372" t="s">
        <v>23</v>
      </c>
      <c r="AA52" s="372" t="s">
        <v>23</v>
      </c>
      <c r="AB52" s="372" t="s">
        <v>23</v>
      </c>
      <c r="AC52" s="372" t="s">
        <v>23</v>
      </c>
      <c r="AD52" s="372" t="s">
        <v>23</v>
      </c>
      <c r="AE52" s="372" t="s">
        <v>23</v>
      </c>
      <c r="AF52" s="372" t="s">
        <v>23</v>
      </c>
      <c r="AG52" s="372" t="s">
        <v>23</v>
      </c>
      <c r="AH52" s="372" t="s">
        <v>23</v>
      </c>
      <c r="AI52" s="62"/>
    </row>
    <row r="53" spans="2:35" ht="26.85" customHeight="1" x14ac:dyDescent="0.25">
      <c r="B53" s="345" t="s">
        <v>199</v>
      </c>
      <c r="C53" s="344"/>
      <c r="D53" s="180" t="s">
        <v>25</v>
      </c>
      <c r="E53" s="180"/>
      <c r="F53" s="750" t="s">
        <v>23</v>
      </c>
      <c r="G53" s="750" t="s">
        <v>23</v>
      </c>
      <c r="H53" s="750" t="s">
        <v>23</v>
      </c>
      <c r="I53" s="456" t="str">
        <f>H53</f>
        <v>-</v>
      </c>
      <c r="J53" s="721" t="s">
        <v>23</v>
      </c>
      <c r="K53" s="721" t="s">
        <v>23</v>
      </c>
      <c r="L53" s="721" t="s">
        <v>23</v>
      </c>
      <c r="M53" s="699" t="str">
        <f>L53</f>
        <v>-</v>
      </c>
      <c r="N53" s="372" t="s">
        <v>23</v>
      </c>
      <c r="O53" s="372" t="s">
        <v>23</v>
      </c>
      <c r="P53" s="372" t="s">
        <v>23</v>
      </c>
      <c r="Q53" s="372" t="s">
        <v>23</v>
      </c>
      <c r="R53" s="372" t="s">
        <v>23</v>
      </c>
      <c r="S53" s="372" t="s">
        <v>23</v>
      </c>
      <c r="T53" s="372" t="s">
        <v>23</v>
      </c>
      <c r="U53" s="372" t="s">
        <v>23</v>
      </c>
      <c r="V53" s="372" t="s">
        <v>23</v>
      </c>
      <c r="W53" s="372" t="s">
        <v>23</v>
      </c>
      <c r="X53" s="372" t="s">
        <v>23</v>
      </c>
      <c r="Y53" s="372" t="s">
        <v>23</v>
      </c>
      <c r="Z53" s="372" t="s">
        <v>23</v>
      </c>
      <c r="AA53" s="372" t="s">
        <v>23</v>
      </c>
      <c r="AB53" s="372" t="s">
        <v>23</v>
      </c>
      <c r="AC53" s="372" t="s">
        <v>23</v>
      </c>
      <c r="AD53" s="372" t="s">
        <v>23</v>
      </c>
      <c r="AE53" s="372" t="s">
        <v>23</v>
      </c>
      <c r="AF53" s="372" t="s">
        <v>23</v>
      </c>
      <c r="AG53" s="372" t="s">
        <v>23</v>
      </c>
      <c r="AH53" s="372" t="s">
        <v>23</v>
      </c>
      <c r="AI53" s="62"/>
    </row>
    <row r="54" spans="2:35" ht="26.85" customHeight="1" x14ac:dyDescent="0.25">
      <c r="B54" s="345" t="s">
        <v>102</v>
      </c>
      <c r="C54" s="347"/>
      <c r="D54" s="180" t="s">
        <v>25</v>
      </c>
      <c r="E54" s="180"/>
      <c r="F54" s="456">
        <f>SUM(F50:F52)</f>
        <v>77</v>
      </c>
      <c r="G54" s="756">
        <f>SUM(G50:G52)</f>
        <v>145</v>
      </c>
      <c r="H54" s="456" t="str">
        <f>H53</f>
        <v>-</v>
      </c>
      <c r="I54" s="456">
        <f>SUM(I50:I53)</f>
        <v>222</v>
      </c>
      <c r="J54" s="699">
        <f t="shared" ref="J54:M54" si="13">SUM(J50:J53)</f>
        <v>71</v>
      </c>
      <c r="K54" s="699">
        <f t="shared" si="13"/>
        <v>136</v>
      </c>
      <c r="L54" s="699">
        <f t="shared" si="13"/>
        <v>0</v>
      </c>
      <c r="M54" s="699">
        <f t="shared" si="13"/>
        <v>207</v>
      </c>
      <c r="N54" s="216">
        <f>SUM(N50:N52)</f>
        <v>55</v>
      </c>
      <c r="O54" s="216">
        <f>SUM(O50:O52)</f>
        <v>119</v>
      </c>
      <c r="P54" s="216">
        <f>SUM(P50:P52)</f>
        <v>174</v>
      </c>
      <c r="Q54" s="372" t="s">
        <v>23</v>
      </c>
      <c r="R54" s="372" t="s">
        <v>23</v>
      </c>
      <c r="S54" s="372" t="s">
        <v>23</v>
      </c>
      <c r="T54" s="372" t="s">
        <v>23</v>
      </c>
      <c r="U54" s="372" t="s">
        <v>23</v>
      </c>
      <c r="V54" s="372" t="s">
        <v>23</v>
      </c>
      <c r="W54" s="372" t="s">
        <v>23</v>
      </c>
      <c r="X54" s="372" t="s">
        <v>23</v>
      </c>
      <c r="Y54" s="372" t="s">
        <v>23</v>
      </c>
      <c r="Z54" s="372" t="s">
        <v>23</v>
      </c>
      <c r="AA54" s="372" t="s">
        <v>23</v>
      </c>
      <c r="AB54" s="372" t="s">
        <v>23</v>
      </c>
      <c r="AC54" s="372" t="s">
        <v>23</v>
      </c>
      <c r="AD54" s="372" t="s">
        <v>23</v>
      </c>
      <c r="AE54" s="372" t="s">
        <v>23</v>
      </c>
      <c r="AF54" s="372" t="s">
        <v>23</v>
      </c>
      <c r="AG54" s="372" t="s">
        <v>23</v>
      </c>
      <c r="AH54" s="372" t="s">
        <v>23</v>
      </c>
      <c r="AI54" s="62"/>
    </row>
    <row r="55" spans="2:35" ht="26.85" customHeight="1" x14ac:dyDescent="0.25">
      <c r="B55" s="231" t="s">
        <v>102</v>
      </c>
      <c r="C55" s="198"/>
      <c r="D55" s="180" t="s">
        <v>31</v>
      </c>
      <c r="E55" s="180"/>
      <c r="F55" s="752">
        <v>0.19556127372145385</v>
      </c>
      <c r="G55" s="752">
        <v>0.80250884528787392</v>
      </c>
      <c r="H55" s="752">
        <v>1.9298809906722419E-3</v>
      </c>
      <c r="I55" s="458">
        <v>1</v>
      </c>
      <c r="J55" s="708">
        <v>0.18624547548535703</v>
      </c>
      <c r="K55" s="708">
        <v>0.81178019085225406</v>
      </c>
      <c r="L55" s="708">
        <v>1.9743336623889436E-3</v>
      </c>
      <c r="M55" s="707">
        <f>SUM(J55:L55)</f>
        <v>1</v>
      </c>
      <c r="N55" s="211">
        <f>SUM(N43,N49)</f>
        <v>0.17600550017188038</v>
      </c>
      <c r="O55" s="209">
        <f>SUM(O49,O43)</f>
        <v>0.82399449982811956</v>
      </c>
      <c r="P55" s="211">
        <v>1</v>
      </c>
      <c r="Q55" s="372" t="s">
        <v>23</v>
      </c>
      <c r="R55" s="372" t="s">
        <v>23</v>
      </c>
      <c r="S55" s="372" t="s">
        <v>23</v>
      </c>
      <c r="T55" s="372" t="s">
        <v>23</v>
      </c>
      <c r="U55" s="372" t="s">
        <v>23</v>
      </c>
      <c r="V55" s="372" t="s">
        <v>23</v>
      </c>
      <c r="W55" s="372" t="s">
        <v>23</v>
      </c>
      <c r="X55" s="372" t="s">
        <v>23</v>
      </c>
      <c r="Y55" s="372" t="s">
        <v>23</v>
      </c>
      <c r="Z55" s="372" t="s">
        <v>23</v>
      </c>
      <c r="AA55" s="372" t="s">
        <v>23</v>
      </c>
      <c r="AB55" s="372" t="s">
        <v>23</v>
      </c>
      <c r="AC55" s="372" t="s">
        <v>23</v>
      </c>
      <c r="AD55" s="372" t="s">
        <v>23</v>
      </c>
      <c r="AE55" s="372" t="s">
        <v>23</v>
      </c>
      <c r="AF55" s="372" t="s">
        <v>23</v>
      </c>
      <c r="AG55" s="372" t="s">
        <v>23</v>
      </c>
      <c r="AH55" s="372" t="s">
        <v>23</v>
      </c>
      <c r="AI55" s="62"/>
    </row>
    <row r="56" spans="2:35" s="479" customFormat="1" ht="40.5" customHeight="1" x14ac:dyDescent="0.2">
      <c r="B56" s="934" t="s">
        <v>123</v>
      </c>
      <c r="C56" s="934"/>
      <c r="D56" s="934"/>
      <c r="E56" s="934"/>
      <c r="F56" s="934"/>
      <c r="G56" s="934"/>
      <c r="H56" s="934"/>
      <c r="I56" s="934"/>
      <c r="J56" s="934"/>
      <c r="K56" s="934"/>
      <c r="L56" s="934"/>
      <c r="M56" s="934"/>
      <c r="N56" s="934"/>
      <c r="O56" s="475"/>
      <c r="P56" s="474"/>
      <c r="Q56" s="476"/>
      <c r="R56" s="476"/>
      <c r="S56" s="476"/>
      <c r="T56" s="476"/>
      <c r="U56" s="476"/>
      <c r="V56" s="476"/>
      <c r="W56" s="476"/>
      <c r="X56" s="476"/>
      <c r="Y56" s="476"/>
      <c r="Z56" s="476"/>
      <c r="AA56" s="476"/>
      <c r="AB56" s="476"/>
      <c r="AC56" s="476"/>
      <c r="AD56" s="476"/>
      <c r="AE56" s="476"/>
      <c r="AF56" s="476"/>
      <c r="AG56" s="476"/>
      <c r="AH56" s="476"/>
      <c r="AI56" s="477"/>
    </row>
    <row r="57" spans="2:35" ht="50.1" customHeight="1" x14ac:dyDescent="0.2">
      <c r="B57" s="472"/>
      <c r="C57" s="472"/>
      <c r="D57" s="328"/>
      <c r="E57" s="328"/>
      <c r="F57" s="460"/>
      <c r="G57" s="460"/>
      <c r="H57" s="460"/>
      <c r="I57" s="460"/>
      <c r="J57" s="451"/>
      <c r="K57" s="451"/>
      <c r="L57" s="451"/>
      <c r="M57" s="451"/>
      <c r="N57" s="333"/>
      <c r="O57" s="333"/>
      <c r="P57" s="333"/>
      <c r="Q57" s="333"/>
      <c r="R57" s="333"/>
      <c r="S57" s="333"/>
      <c r="T57" s="333"/>
      <c r="U57" s="333"/>
      <c r="V57" s="333"/>
      <c r="W57" s="334"/>
      <c r="X57" s="334"/>
      <c r="Y57" s="334"/>
      <c r="Z57" s="334"/>
      <c r="AA57" s="334"/>
      <c r="AB57" s="334"/>
      <c r="AC57" s="333"/>
      <c r="AD57" s="333"/>
      <c r="AE57" s="333"/>
      <c r="AF57" s="333"/>
      <c r="AG57" s="333"/>
      <c r="AH57" s="333"/>
      <c r="AI57" s="50"/>
    </row>
    <row r="58" spans="2:35" ht="26.85" customHeight="1" x14ac:dyDescent="0.35">
      <c r="B58" s="6" t="s">
        <v>200</v>
      </c>
      <c r="C58" s="305"/>
      <c r="D58" s="7" t="s">
        <v>9</v>
      </c>
      <c r="E58" s="7"/>
      <c r="F58" s="930" t="s">
        <v>10</v>
      </c>
      <c r="G58" s="930"/>
      <c r="H58" s="930"/>
      <c r="I58" s="930"/>
      <c r="J58" s="930" t="s">
        <v>11</v>
      </c>
      <c r="K58" s="930"/>
      <c r="L58" s="930"/>
      <c r="M58" s="930"/>
      <c r="N58" s="920" t="s">
        <v>12</v>
      </c>
      <c r="O58" s="920"/>
      <c r="P58" s="920"/>
      <c r="Q58" s="920" t="s">
        <v>13</v>
      </c>
      <c r="R58" s="920"/>
      <c r="S58" s="920"/>
      <c r="T58" s="920" t="s">
        <v>14</v>
      </c>
      <c r="U58" s="920"/>
      <c r="V58" s="920"/>
      <c r="W58" s="920" t="s">
        <v>15</v>
      </c>
      <c r="X58" s="920"/>
      <c r="Y58" s="920"/>
      <c r="Z58" s="920" t="s">
        <v>16</v>
      </c>
      <c r="AA58" s="920"/>
      <c r="AB58" s="920"/>
      <c r="AC58" s="920" t="s">
        <v>17</v>
      </c>
      <c r="AD58" s="920"/>
      <c r="AE58" s="920"/>
      <c r="AF58" s="920" t="s">
        <v>18</v>
      </c>
      <c r="AG58" s="920"/>
      <c r="AH58" s="920"/>
      <c r="AI58" s="50"/>
    </row>
    <row r="59" spans="2:35" ht="26.85" customHeight="1" x14ac:dyDescent="0.25">
      <c r="B59" s="195"/>
      <c r="C59" s="195"/>
      <c r="D59" s="198"/>
      <c r="E59" s="198"/>
      <c r="F59" s="182" t="s">
        <v>99</v>
      </c>
      <c r="G59" s="182" t="s">
        <v>100</v>
      </c>
      <c r="H59" s="532" t="s">
        <v>101</v>
      </c>
      <c r="I59" s="182" t="s">
        <v>102</v>
      </c>
      <c r="J59" s="452" t="s">
        <v>99</v>
      </c>
      <c r="K59" s="452" t="s">
        <v>100</v>
      </c>
      <c r="L59" s="690" t="s">
        <v>101</v>
      </c>
      <c r="M59" s="452" t="s">
        <v>102</v>
      </c>
      <c r="N59" s="183" t="s">
        <v>99</v>
      </c>
      <c r="O59" s="183" t="s">
        <v>100</v>
      </c>
      <c r="P59" s="183" t="s">
        <v>102</v>
      </c>
      <c r="Q59" s="183" t="s">
        <v>99</v>
      </c>
      <c r="R59" s="183" t="s">
        <v>100</v>
      </c>
      <c r="S59" s="183" t="s">
        <v>102</v>
      </c>
      <c r="T59" s="183" t="s">
        <v>99</v>
      </c>
      <c r="U59" s="183" t="s">
        <v>100</v>
      </c>
      <c r="V59" s="183" t="s">
        <v>102</v>
      </c>
      <c r="W59" s="183" t="s">
        <v>99</v>
      </c>
      <c r="X59" s="183" t="s">
        <v>100</v>
      </c>
      <c r="Y59" s="183" t="s">
        <v>102</v>
      </c>
      <c r="Z59" s="183" t="s">
        <v>99</v>
      </c>
      <c r="AA59" s="183" t="s">
        <v>100</v>
      </c>
      <c r="AB59" s="183" t="s">
        <v>102</v>
      </c>
      <c r="AC59" s="183" t="s">
        <v>99</v>
      </c>
      <c r="AD59" s="183" t="s">
        <v>100</v>
      </c>
      <c r="AE59" s="183" t="s">
        <v>102</v>
      </c>
      <c r="AF59" s="183" t="s">
        <v>99</v>
      </c>
      <c r="AG59" s="183" t="s">
        <v>100</v>
      </c>
      <c r="AH59" s="183" t="s">
        <v>102</v>
      </c>
      <c r="AI59" s="58"/>
    </row>
    <row r="60" spans="2:35" ht="26.85" customHeight="1" x14ac:dyDescent="0.25">
      <c r="B60" s="193" t="s">
        <v>201</v>
      </c>
      <c r="C60" s="188"/>
      <c r="D60" s="180" t="s">
        <v>25</v>
      </c>
      <c r="E60" s="180"/>
      <c r="F60" s="756">
        <v>1071241.24</v>
      </c>
      <c r="G60" s="756">
        <v>4967431.26</v>
      </c>
      <c r="H60" s="756">
        <v>14330.35</v>
      </c>
      <c r="I60" s="756">
        <f>SUM(F60:G60)</f>
        <v>6038672.5</v>
      </c>
      <c r="J60" s="700">
        <v>977563.11</v>
      </c>
      <c r="K60" s="700">
        <v>5059479.8099999996</v>
      </c>
      <c r="L60" s="700">
        <v>14651.82</v>
      </c>
      <c r="M60" s="700">
        <f>SUM(J60:K60)</f>
        <v>6037042.9199999999</v>
      </c>
      <c r="N60" s="372" t="s">
        <v>23</v>
      </c>
      <c r="O60" s="372" t="s">
        <v>23</v>
      </c>
      <c r="P60" s="372" t="s">
        <v>23</v>
      </c>
      <c r="Q60" s="372" t="s">
        <v>23</v>
      </c>
      <c r="R60" s="372" t="s">
        <v>23</v>
      </c>
      <c r="S60" s="438">
        <v>5359105.4400000004</v>
      </c>
      <c r="T60" s="372" t="s">
        <v>23</v>
      </c>
      <c r="U60" s="372" t="s">
        <v>23</v>
      </c>
      <c r="V60" s="372" t="s">
        <v>23</v>
      </c>
      <c r="W60" s="372" t="s">
        <v>23</v>
      </c>
      <c r="X60" s="372" t="s">
        <v>23</v>
      </c>
      <c r="Y60" s="372" t="s">
        <v>23</v>
      </c>
      <c r="Z60" s="372" t="s">
        <v>23</v>
      </c>
      <c r="AA60" s="372" t="s">
        <v>23</v>
      </c>
      <c r="AB60" s="372" t="s">
        <v>23</v>
      </c>
      <c r="AC60" s="372" t="s">
        <v>23</v>
      </c>
      <c r="AD60" s="372" t="s">
        <v>23</v>
      </c>
      <c r="AE60" s="372" t="s">
        <v>23</v>
      </c>
      <c r="AF60" s="372" t="s">
        <v>23</v>
      </c>
      <c r="AG60" s="372" t="s">
        <v>23</v>
      </c>
      <c r="AH60" s="372" t="s">
        <v>23</v>
      </c>
      <c r="AI60" s="50"/>
    </row>
    <row r="61" spans="2:35" ht="26.85" customHeight="1" x14ac:dyDescent="0.25">
      <c r="B61" s="526" t="s">
        <v>202</v>
      </c>
      <c r="C61" s="285"/>
      <c r="D61" s="10"/>
      <c r="E61" s="10"/>
      <c r="F61" s="636"/>
      <c r="G61" s="636"/>
      <c r="H61" s="636"/>
      <c r="I61" s="636"/>
      <c r="J61" s="712"/>
      <c r="K61" s="712"/>
      <c r="L61" s="712"/>
      <c r="M61" s="712"/>
      <c r="N61" s="379"/>
      <c r="O61" s="379"/>
      <c r="P61" s="379"/>
      <c r="Q61" s="379"/>
      <c r="R61" s="379"/>
      <c r="S61" s="631"/>
      <c r="T61" s="379"/>
      <c r="U61" s="379"/>
      <c r="V61" s="379"/>
      <c r="W61" s="379"/>
      <c r="X61" s="379"/>
      <c r="Y61" s="379"/>
      <c r="Z61" s="379"/>
      <c r="AA61" s="379"/>
      <c r="AB61" s="379"/>
      <c r="AC61" s="379"/>
      <c r="AD61" s="379"/>
      <c r="AE61" s="379"/>
      <c r="AF61" s="379"/>
      <c r="AG61" s="379"/>
      <c r="AH61" s="379"/>
      <c r="AI61" s="50"/>
    </row>
    <row r="62" spans="2:35" ht="50.1" customHeight="1" x14ac:dyDescent="0.2">
      <c r="B62" s="512"/>
      <c r="C62" s="513"/>
      <c r="D62" s="40"/>
      <c r="E62" s="40"/>
      <c r="F62" s="453"/>
      <c r="G62" s="453"/>
      <c r="H62" s="453"/>
      <c r="I62" s="453"/>
      <c r="J62" s="68"/>
      <c r="K62" s="68"/>
      <c r="L62" s="68"/>
      <c r="M62" s="68"/>
      <c r="AC62" s="12"/>
      <c r="AD62" s="12"/>
      <c r="AE62" s="12"/>
      <c r="AF62" s="12"/>
      <c r="AG62" s="12"/>
      <c r="AH62" s="12"/>
      <c r="AI62" s="50"/>
    </row>
    <row r="63" spans="2:35" ht="26.85" customHeight="1" x14ac:dyDescent="0.2">
      <c r="B63" s="6" t="s">
        <v>127</v>
      </c>
      <c r="C63" s="6"/>
      <c r="D63" s="7" t="s">
        <v>9</v>
      </c>
      <c r="E63" s="7"/>
      <c r="F63" s="930" t="s">
        <v>10</v>
      </c>
      <c r="G63" s="930"/>
      <c r="H63" s="930"/>
      <c r="I63" s="930"/>
      <c r="J63" s="930" t="s">
        <v>11</v>
      </c>
      <c r="K63" s="930"/>
      <c r="L63" s="930"/>
      <c r="M63" s="930"/>
      <c r="N63" s="920" t="s">
        <v>12</v>
      </c>
      <c r="O63" s="920"/>
      <c r="P63" s="920"/>
      <c r="Q63" s="920" t="s">
        <v>13</v>
      </c>
      <c r="R63" s="920"/>
      <c r="S63" s="920"/>
      <c r="T63" s="920" t="s">
        <v>14</v>
      </c>
      <c r="U63" s="920"/>
      <c r="V63" s="920"/>
      <c r="W63" s="920" t="s">
        <v>15</v>
      </c>
      <c r="X63" s="920"/>
      <c r="Y63" s="920"/>
      <c r="Z63" s="920" t="s">
        <v>16</v>
      </c>
      <c r="AA63" s="920"/>
      <c r="AB63" s="920"/>
      <c r="AC63" s="920" t="s">
        <v>17</v>
      </c>
      <c r="AD63" s="920"/>
      <c r="AE63" s="920"/>
      <c r="AF63" s="920" t="s">
        <v>18</v>
      </c>
      <c r="AG63" s="920"/>
      <c r="AH63" s="920"/>
      <c r="AI63" s="50"/>
    </row>
    <row r="64" spans="2:35" ht="26.85" customHeight="1" x14ac:dyDescent="0.25">
      <c r="B64" s="198"/>
      <c r="C64" s="198"/>
      <c r="D64" s="198"/>
      <c r="E64" s="198"/>
      <c r="F64" s="182" t="s">
        <v>99</v>
      </c>
      <c r="G64" s="182" t="s">
        <v>100</v>
      </c>
      <c r="H64" s="532" t="s">
        <v>101</v>
      </c>
      <c r="I64" s="182" t="s">
        <v>102</v>
      </c>
      <c r="J64" s="452" t="s">
        <v>99</v>
      </c>
      <c r="K64" s="452" t="s">
        <v>100</v>
      </c>
      <c r="L64" s="690" t="s">
        <v>101</v>
      </c>
      <c r="M64" s="452" t="s">
        <v>102</v>
      </c>
      <c r="N64" s="183" t="s">
        <v>99</v>
      </c>
      <c r="O64" s="183" t="s">
        <v>100</v>
      </c>
      <c r="P64" s="183" t="s">
        <v>102</v>
      </c>
      <c r="Q64" s="183" t="s">
        <v>99</v>
      </c>
      <c r="R64" s="183" t="s">
        <v>100</v>
      </c>
      <c r="S64" s="183" t="s">
        <v>102</v>
      </c>
      <c r="T64" s="183" t="s">
        <v>99</v>
      </c>
      <c r="U64" s="183" t="s">
        <v>100</v>
      </c>
      <c r="V64" s="183" t="s">
        <v>102</v>
      </c>
      <c r="W64" s="183" t="s">
        <v>99</v>
      </c>
      <c r="X64" s="183" t="s">
        <v>100</v>
      </c>
      <c r="Y64" s="183" t="s">
        <v>102</v>
      </c>
      <c r="Z64" s="183" t="s">
        <v>99</v>
      </c>
      <c r="AA64" s="183" t="s">
        <v>100</v>
      </c>
      <c r="AB64" s="183" t="s">
        <v>102</v>
      </c>
      <c r="AC64" s="183" t="s">
        <v>99</v>
      </c>
      <c r="AD64" s="183" t="s">
        <v>100</v>
      </c>
      <c r="AE64" s="183" t="s">
        <v>102</v>
      </c>
      <c r="AF64" s="183" t="s">
        <v>99</v>
      </c>
      <c r="AG64" s="183" t="s">
        <v>100</v>
      </c>
      <c r="AH64" s="183" t="s">
        <v>102</v>
      </c>
      <c r="AI64" s="58"/>
    </row>
    <row r="65" spans="2:35" ht="26.85" customHeight="1" x14ac:dyDescent="0.25">
      <c r="B65" s="180" t="s">
        <v>128</v>
      </c>
      <c r="C65" s="180"/>
      <c r="D65" s="180" t="s">
        <v>25</v>
      </c>
      <c r="E65" s="180"/>
      <c r="F65" s="456">
        <v>2</v>
      </c>
      <c r="G65" s="751">
        <v>7</v>
      </c>
      <c r="H65" s="750" t="s">
        <v>23</v>
      </c>
      <c r="I65" s="456">
        <f t="shared" ref="I65:I69" si="14">SUM(F65:G65)</f>
        <v>9</v>
      </c>
      <c r="J65" s="720">
        <v>2</v>
      </c>
      <c r="K65" s="720">
        <v>7</v>
      </c>
      <c r="L65" s="721" t="s">
        <v>23</v>
      </c>
      <c r="M65" s="699">
        <f t="shared" ref="M65:M69" si="15">SUM(J65:K65)</f>
        <v>9</v>
      </c>
      <c r="N65" s="219">
        <v>2</v>
      </c>
      <c r="O65" s="219">
        <v>8</v>
      </c>
      <c r="P65" s="219">
        <f>SUM(N65:O65)</f>
        <v>10</v>
      </c>
      <c r="Q65" s="192">
        <v>2</v>
      </c>
      <c r="R65" s="192">
        <v>8</v>
      </c>
      <c r="S65" s="192">
        <v>10</v>
      </c>
      <c r="T65" s="374">
        <v>3</v>
      </c>
      <c r="U65" s="374">
        <v>8</v>
      </c>
      <c r="V65" s="374">
        <f>SUM(T65:U65)</f>
        <v>11</v>
      </c>
      <c r="W65" s="374">
        <v>2</v>
      </c>
      <c r="X65" s="374">
        <v>10</v>
      </c>
      <c r="Y65" s="374">
        <f>SUM(W65:X65)</f>
        <v>12</v>
      </c>
      <c r="Z65" s="374">
        <v>2</v>
      </c>
      <c r="AA65" s="374">
        <v>9</v>
      </c>
      <c r="AB65" s="374">
        <f>SUM(Z65:AA65)</f>
        <v>11</v>
      </c>
      <c r="AC65" s="192">
        <v>2</v>
      </c>
      <c r="AD65" s="192">
        <v>9</v>
      </c>
      <c r="AE65" s="192">
        <f>SUM(AC65:AD65)</f>
        <v>11</v>
      </c>
      <c r="AF65" s="192">
        <v>3</v>
      </c>
      <c r="AG65" s="192">
        <v>6</v>
      </c>
      <c r="AH65" s="192">
        <f>SUM(AF65:AG65)</f>
        <v>9</v>
      </c>
      <c r="AI65" s="59"/>
    </row>
    <row r="66" spans="2:35" ht="26.85" customHeight="1" x14ac:dyDescent="0.25">
      <c r="B66" s="180" t="s">
        <v>129</v>
      </c>
      <c r="C66" s="180"/>
      <c r="D66" s="180" t="s">
        <v>25</v>
      </c>
      <c r="E66" s="180"/>
      <c r="F66" s="751">
        <v>12</v>
      </c>
      <c r="G66" s="456">
        <v>36</v>
      </c>
      <c r="H66" s="750" t="s">
        <v>23</v>
      </c>
      <c r="I66" s="456">
        <f t="shared" si="14"/>
        <v>48</v>
      </c>
      <c r="J66" s="720">
        <v>13</v>
      </c>
      <c r="K66" s="699">
        <v>35</v>
      </c>
      <c r="L66" s="721" t="s">
        <v>23</v>
      </c>
      <c r="M66" s="699">
        <f t="shared" si="15"/>
        <v>48</v>
      </c>
      <c r="N66" s="219">
        <v>8</v>
      </c>
      <c r="O66" s="219">
        <v>34</v>
      </c>
      <c r="P66" s="219">
        <f t="shared" ref="P66:P69" si="16">SUM(N66:O66)</f>
        <v>42</v>
      </c>
      <c r="Q66" s="372" t="s">
        <v>23</v>
      </c>
      <c r="R66" s="372" t="s">
        <v>23</v>
      </c>
      <c r="S66" s="372" t="s">
        <v>23</v>
      </c>
      <c r="T66" s="372" t="s">
        <v>23</v>
      </c>
      <c r="U66" s="372" t="s">
        <v>23</v>
      </c>
      <c r="V66" s="372" t="s">
        <v>23</v>
      </c>
      <c r="W66" s="372" t="s">
        <v>23</v>
      </c>
      <c r="X66" s="372" t="s">
        <v>23</v>
      </c>
      <c r="Y66" s="372" t="s">
        <v>23</v>
      </c>
      <c r="Z66" s="372" t="s">
        <v>23</v>
      </c>
      <c r="AA66" s="372" t="s">
        <v>23</v>
      </c>
      <c r="AB66" s="372" t="s">
        <v>23</v>
      </c>
      <c r="AC66" s="372" t="s">
        <v>23</v>
      </c>
      <c r="AD66" s="372" t="s">
        <v>23</v>
      </c>
      <c r="AE66" s="372" t="s">
        <v>23</v>
      </c>
      <c r="AF66" s="372" t="s">
        <v>23</v>
      </c>
      <c r="AG66" s="372" t="s">
        <v>23</v>
      </c>
      <c r="AH66" s="372" t="s">
        <v>23</v>
      </c>
      <c r="AI66" s="59"/>
    </row>
    <row r="67" spans="2:35" ht="26.85" customHeight="1" x14ac:dyDescent="0.25">
      <c r="B67" s="180" t="s">
        <v>130</v>
      </c>
      <c r="C67" s="180"/>
      <c r="D67" s="180" t="s">
        <v>25</v>
      </c>
      <c r="E67" s="180"/>
      <c r="F67" s="456">
        <v>42</v>
      </c>
      <c r="G67" s="456">
        <v>100</v>
      </c>
      <c r="H67" s="750" t="s">
        <v>23</v>
      </c>
      <c r="I67" s="456">
        <f t="shared" si="14"/>
        <v>142</v>
      </c>
      <c r="J67" s="699">
        <v>44</v>
      </c>
      <c r="K67" s="699">
        <v>107</v>
      </c>
      <c r="L67" s="721" t="s">
        <v>23</v>
      </c>
      <c r="M67" s="699">
        <f t="shared" si="15"/>
        <v>151</v>
      </c>
      <c r="N67" s="219">
        <v>34</v>
      </c>
      <c r="O67" s="219">
        <v>110</v>
      </c>
      <c r="P67" s="219">
        <f t="shared" si="16"/>
        <v>144</v>
      </c>
      <c r="Q67" s="192">
        <v>38</v>
      </c>
      <c r="R67" s="192">
        <v>142</v>
      </c>
      <c r="S67" s="192">
        <v>180</v>
      </c>
      <c r="T67" s="374">
        <v>32</v>
      </c>
      <c r="U67" s="374">
        <v>141</v>
      </c>
      <c r="V67" s="374">
        <f>SUM(T67:U67)</f>
        <v>173</v>
      </c>
      <c r="W67" s="374">
        <v>30</v>
      </c>
      <c r="X67" s="374">
        <v>147</v>
      </c>
      <c r="Y67" s="374">
        <f>SUM(W67:X67)</f>
        <v>177</v>
      </c>
      <c r="Z67" s="374">
        <v>35</v>
      </c>
      <c r="AA67" s="374">
        <v>149</v>
      </c>
      <c r="AB67" s="374">
        <f>SUM(Z67:AA67)</f>
        <v>184</v>
      </c>
      <c r="AC67" s="192">
        <v>30</v>
      </c>
      <c r="AD67" s="192">
        <v>147</v>
      </c>
      <c r="AE67" s="192">
        <f>SUM(AC67:AD67)</f>
        <v>177</v>
      </c>
      <c r="AF67" s="192">
        <v>37</v>
      </c>
      <c r="AG67" s="192">
        <v>139</v>
      </c>
      <c r="AH67" s="192">
        <f>SUM(AF67:AG67)</f>
        <v>176</v>
      </c>
      <c r="AI67" s="59"/>
    </row>
    <row r="68" spans="2:35" ht="26.85" customHeight="1" x14ac:dyDescent="0.25">
      <c r="B68" s="193" t="s">
        <v>131</v>
      </c>
      <c r="C68" s="180"/>
      <c r="D68" s="180" t="s">
        <v>25</v>
      </c>
      <c r="E68" s="180"/>
      <c r="F68" s="456">
        <v>43</v>
      </c>
      <c r="G68" s="456">
        <v>246</v>
      </c>
      <c r="H68" s="750" t="s">
        <v>23</v>
      </c>
      <c r="I68" s="456">
        <f t="shared" si="14"/>
        <v>289</v>
      </c>
      <c r="J68" s="699">
        <v>40</v>
      </c>
      <c r="K68" s="699">
        <v>264</v>
      </c>
      <c r="L68" s="721" t="s">
        <v>23</v>
      </c>
      <c r="M68" s="699">
        <f t="shared" si="15"/>
        <v>304</v>
      </c>
      <c r="N68" s="219">
        <v>36</v>
      </c>
      <c r="O68" s="219">
        <v>204</v>
      </c>
      <c r="P68" s="219">
        <f t="shared" si="16"/>
        <v>240</v>
      </c>
      <c r="Q68" s="192">
        <v>30</v>
      </c>
      <c r="R68" s="192">
        <v>211</v>
      </c>
      <c r="S68" s="192">
        <v>241</v>
      </c>
      <c r="T68" s="374">
        <v>28</v>
      </c>
      <c r="U68" s="374">
        <v>198</v>
      </c>
      <c r="V68" s="374">
        <f>SUM(T68:U68)</f>
        <v>226</v>
      </c>
      <c r="W68" s="374">
        <v>40</v>
      </c>
      <c r="X68" s="374">
        <v>216</v>
      </c>
      <c r="Y68" s="374">
        <f>SUM(W68:X68)</f>
        <v>256</v>
      </c>
      <c r="Z68" s="374">
        <v>38</v>
      </c>
      <c r="AA68" s="374">
        <v>272</v>
      </c>
      <c r="AB68" s="374">
        <f>SUM(Z68:AA68)</f>
        <v>310</v>
      </c>
      <c r="AC68" s="192">
        <v>36</v>
      </c>
      <c r="AD68" s="192">
        <v>265</v>
      </c>
      <c r="AE68" s="192">
        <f>SUM(AC68:AD68)</f>
        <v>301</v>
      </c>
      <c r="AF68" s="192">
        <v>39</v>
      </c>
      <c r="AG68" s="192">
        <v>236</v>
      </c>
      <c r="AH68" s="192">
        <f>SUM(AF68:AG68)</f>
        <v>275</v>
      </c>
      <c r="AI68" s="59"/>
    </row>
    <row r="69" spans="2:35" ht="26.85" customHeight="1" x14ac:dyDescent="0.25">
      <c r="B69" s="193" t="s">
        <v>132</v>
      </c>
      <c r="C69" s="180"/>
      <c r="D69" s="180" t="s">
        <v>25</v>
      </c>
      <c r="E69" s="180"/>
      <c r="F69" s="456">
        <v>509</v>
      </c>
      <c r="G69" s="756">
        <v>2106</v>
      </c>
      <c r="H69" s="750" t="s">
        <v>23</v>
      </c>
      <c r="I69" s="756">
        <f t="shared" si="14"/>
        <v>2615</v>
      </c>
      <c r="J69" s="699">
        <v>467</v>
      </c>
      <c r="K69" s="700">
        <v>2054</v>
      </c>
      <c r="L69" s="721" t="s">
        <v>23</v>
      </c>
      <c r="M69" s="700">
        <f t="shared" si="15"/>
        <v>2521</v>
      </c>
      <c r="N69" s="219">
        <v>432</v>
      </c>
      <c r="O69" s="192">
        <v>2041</v>
      </c>
      <c r="P69" s="192">
        <f t="shared" si="16"/>
        <v>2473</v>
      </c>
      <c r="Q69" s="192">
        <v>399</v>
      </c>
      <c r="R69" s="192">
        <v>1962</v>
      </c>
      <c r="S69" s="192">
        <v>2361</v>
      </c>
      <c r="T69" s="374">
        <v>366</v>
      </c>
      <c r="U69" s="374">
        <v>1928</v>
      </c>
      <c r="V69" s="374">
        <f>SUM(T69:U69)</f>
        <v>2294</v>
      </c>
      <c r="W69" s="374">
        <v>413</v>
      </c>
      <c r="X69" s="374">
        <v>2043</v>
      </c>
      <c r="Y69" s="374">
        <f>SUM(W69:X69)</f>
        <v>2456</v>
      </c>
      <c r="Z69" s="374">
        <v>448</v>
      </c>
      <c r="AA69" s="374">
        <v>2330</v>
      </c>
      <c r="AB69" s="374">
        <f>SUM(Z69:AA69)</f>
        <v>2778</v>
      </c>
      <c r="AC69" s="192">
        <v>471</v>
      </c>
      <c r="AD69" s="192">
        <v>2506</v>
      </c>
      <c r="AE69" s="192">
        <f>SUM(AC69:AD69)</f>
        <v>2977</v>
      </c>
      <c r="AF69" s="192">
        <v>523</v>
      </c>
      <c r="AG69" s="192">
        <v>2669</v>
      </c>
      <c r="AH69" s="192">
        <f>SUM(AF69:AG69)</f>
        <v>3192</v>
      </c>
      <c r="AI69" s="59"/>
    </row>
    <row r="70" spans="2:35" ht="26.85" customHeight="1" x14ac:dyDescent="0.25">
      <c r="B70" s="193" t="s">
        <v>203</v>
      </c>
      <c r="C70" s="180"/>
      <c r="D70" s="180" t="s">
        <v>25</v>
      </c>
      <c r="E70" s="180"/>
      <c r="F70" s="750" t="s">
        <v>23</v>
      </c>
      <c r="G70" s="750" t="s">
        <v>23</v>
      </c>
      <c r="H70" s="456">
        <v>6</v>
      </c>
      <c r="I70" s="456">
        <f>H70</f>
        <v>6</v>
      </c>
      <c r="J70" s="721" t="s">
        <v>23</v>
      </c>
      <c r="K70" s="721" t="s">
        <v>23</v>
      </c>
      <c r="L70" s="699">
        <v>6</v>
      </c>
      <c r="M70" s="699">
        <f>L70</f>
        <v>6</v>
      </c>
      <c r="N70" s="372" t="s">
        <v>23</v>
      </c>
      <c r="O70" s="372" t="s">
        <v>23</v>
      </c>
      <c r="P70" s="372" t="s">
        <v>23</v>
      </c>
      <c r="Q70" s="372" t="s">
        <v>23</v>
      </c>
      <c r="R70" s="372" t="s">
        <v>23</v>
      </c>
      <c r="S70" s="372" t="s">
        <v>23</v>
      </c>
      <c r="T70" s="372" t="s">
        <v>23</v>
      </c>
      <c r="U70" s="372" t="s">
        <v>23</v>
      </c>
      <c r="V70" s="372" t="s">
        <v>23</v>
      </c>
      <c r="W70" s="372" t="s">
        <v>23</v>
      </c>
      <c r="X70" s="372" t="s">
        <v>23</v>
      </c>
      <c r="Y70" s="372" t="s">
        <v>23</v>
      </c>
      <c r="Z70" s="372" t="s">
        <v>23</v>
      </c>
      <c r="AA70" s="372" t="s">
        <v>23</v>
      </c>
      <c r="AB70" s="372" t="s">
        <v>23</v>
      </c>
      <c r="AC70" s="372" t="s">
        <v>23</v>
      </c>
      <c r="AD70" s="372" t="s">
        <v>23</v>
      </c>
      <c r="AE70" s="372" t="s">
        <v>23</v>
      </c>
      <c r="AF70" s="372" t="s">
        <v>23</v>
      </c>
      <c r="AG70" s="372" t="s">
        <v>23</v>
      </c>
      <c r="AH70" s="372" t="s">
        <v>23</v>
      </c>
      <c r="AI70" s="59"/>
    </row>
    <row r="71" spans="2:35" ht="26.85" customHeight="1" x14ac:dyDescent="0.25">
      <c r="B71" s="231" t="s">
        <v>102</v>
      </c>
      <c r="C71" s="180"/>
      <c r="D71" s="180" t="s">
        <v>25</v>
      </c>
      <c r="E71" s="180"/>
      <c r="F71" s="456">
        <f t="shared" ref="F71:I71" si="17">SUM(F65:F70)</f>
        <v>608</v>
      </c>
      <c r="G71" s="756">
        <f t="shared" si="17"/>
        <v>2495</v>
      </c>
      <c r="H71" s="456">
        <f t="shared" si="17"/>
        <v>6</v>
      </c>
      <c r="I71" s="756">
        <f t="shared" si="17"/>
        <v>3109</v>
      </c>
      <c r="J71" s="699">
        <f t="shared" ref="J71:M71" si="18">SUM(J65:J70)</f>
        <v>566</v>
      </c>
      <c r="K71" s="700">
        <f t="shared" si="18"/>
        <v>2467</v>
      </c>
      <c r="L71" s="699">
        <f t="shared" si="18"/>
        <v>6</v>
      </c>
      <c r="M71" s="700">
        <f t="shared" si="18"/>
        <v>3039</v>
      </c>
      <c r="N71" s="375">
        <f>SUM(N65:N69)</f>
        <v>512</v>
      </c>
      <c r="O71" s="192">
        <f>SUM(O65:O69)</f>
        <v>2397</v>
      </c>
      <c r="P71" s="192">
        <f>SUM(P65:P69)</f>
        <v>2909</v>
      </c>
      <c r="Q71" s="192">
        <v>469</v>
      </c>
      <c r="R71" s="192">
        <v>2323</v>
      </c>
      <c r="S71" s="192">
        <v>2792</v>
      </c>
      <c r="T71" s="374">
        <f t="shared" ref="T71:AG71" si="19">SUM(T65:T69)</f>
        <v>429</v>
      </c>
      <c r="U71" s="374">
        <f t="shared" si="19"/>
        <v>2275</v>
      </c>
      <c r="V71" s="374">
        <f t="shared" si="19"/>
        <v>2704</v>
      </c>
      <c r="W71" s="374">
        <f t="shared" si="19"/>
        <v>485</v>
      </c>
      <c r="X71" s="374">
        <f t="shared" si="19"/>
        <v>2416</v>
      </c>
      <c r="Y71" s="374">
        <f t="shared" si="19"/>
        <v>2901</v>
      </c>
      <c r="Z71" s="374">
        <f t="shared" si="19"/>
        <v>523</v>
      </c>
      <c r="AA71" s="374">
        <f t="shared" si="19"/>
        <v>2760</v>
      </c>
      <c r="AB71" s="374">
        <f t="shared" si="19"/>
        <v>3283</v>
      </c>
      <c r="AC71" s="192">
        <f t="shared" si="19"/>
        <v>539</v>
      </c>
      <c r="AD71" s="192">
        <f t="shared" si="19"/>
        <v>2927</v>
      </c>
      <c r="AE71" s="192">
        <f t="shared" si="19"/>
        <v>3466</v>
      </c>
      <c r="AF71" s="192">
        <f t="shared" si="19"/>
        <v>602</v>
      </c>
      <c r="AG71" s="192">
        <f t="shared" si="19"/>
        <v>3050</v>
      </c>
      <c r="AH71" s="192">
        <f>SUM(AF71:AG71)</f>
        <v>3652</v>
      </c>
      <c r="AI71" s="59"/>
    </row>
    <row r="72" spans="2:35" ht="26.85" customHeight="1" x14ac:dyDescent="0.25">
      <c r="B72" s="193" t="s">
        <v>204</v>
      </c>
      <c r="C72" s="188"/>
      <c r="D72" s="180" t="s">
        <v>31</v>
      </c>
      <c r="E72" s="180"/>
      <c r="F72" s="752">
        <f>SUM(F65:F68)/(SUM(I65:I68))</f>
        <v>0.2028688524590164</v>
      </c>
      <c r="G72" s="752">
        <f>SUM(G65:G68)/SUM(I65:I68)</f>
        <v>0.79713114754098358</v>
      </c>
      <c r="H72" s="750" t="s">
        <v>23</v>
      </c>
      <c r="I72" s="761">
        <f>SUM(F72:G72)</f>
        <v>1</v>
      </c>
      <c r="J72" s="708">
        <f>SUM(J65:J68)/(SUM(M65:M68)+1)</f>
        <v>0.19298245614035087</v>
      </c>
      <c r="K72" s="708">
        <f>SUM(K65:K68)/SUM(M65:M68)</f>
        <v>0.806640625</v>
      </c>
      <c r="L72" s="721" t="s">
        <v>23</v>
      </c>
      <c r="M72" s="721" t="s">
        <v>23</v>
      </c>
      <c r="N72" s="372" t="s">
        <v>23</v>
      </c>
      <c r="O72" s="372" t="s">
        <v>23</v>
      </c>
      <c r="P72" s="372" t="s">
        <v>23</v>
      </c>
      <c r="Q72" s="372" t="s">
        <v>23</v>
      </c>
      <c r="R72" s="372" t="s">
        <v>23</v>
      </c>
      <c r="S72" s="372" t="s">
        <v>23</v>
      </c>
      <c r="T72" s="372" t="s">
        <v>23</v>
      </c>
      <c r="U72" s="372" t="s">
        <v>23</v>
      </c>
      <c r="V72" s="372" t="s">
        <v>23</v>
      </c>
      <c r="W72" s="372" t="s">
        <v>23</v>
      </c>
      <c r="X72" s="372" t="s">
        <v>23</v>
      </c>
      <c r="Y72" s="372" t="s">
        <v>23</v>
      </c>
      <c r="Z72" s="372" t="s">
        <v>23</v>
      </c>
      <c r="AA72" s="372" t="s">
        <v>23</v>
      </c>
      <c r="AB72" s="372" t="s">
        <v>23</v>
      </c>
      <c r="AC72" s="372" t="s">
        <v>23</v>
      </c>
      <c r="AD72" s="372" t="s">
        <v>23</v>
      </c>
      <c r="AE72" s="372" t="s">
        <v>23</v>
      </c>
      <c r="AF72" s="372" t="s">
        <v>23</v>
      </c>
      <c r="AG72" s="372" t="s">
        <v>23</v>
      </c>
      <c r="AH72" s="372" t="s">
        <v>23</v>
      </c>
      <c r="AI72" s="59"/>
    </row>
    <row r="73" spans="2:35" ht="26.85" customHeight="1" x14ac:dyDescent="0.25">
      <c r="B73" s="193" t="s">
        <v>134</v>
      </c>
      <c r="C73" s="188"/>
      <c r="D73" s="180" t="s">
        <v>31</v>
      </c>
      <c r="E73" s="180"/>
      <c r="F73" s="761">
        <v>0.05</v>
      </c>
      <c r="G73" s="761">
        <v>0.95</v>
      </c>
      <c r="H73" s="750" t="s">
        <v>23</v>
      </c>
      <c r="I73" s="504">
        <v>1</v>
      </c>
      <c r="J73" s="725">
        <v>0.04</v>
      </c>
      <c r="K73" s="725">
        <v>0.96</v>
      </c>
      <c r="L73" s="721" t="s">
        <v>23</v>
      </c>
      <c r="M73" s="718">
        <f>SUM(J73:K73)</f>
        <v>1</v>
      </c>
      <c r="N73" s="372" t="s">
        <v>23</v>
      </c>
      <c r="O73" s="372" t="s">
        <v>23</v>
      </c>
      <c r="P73" s="372" t="s">
        <v>23</v>
      </c>
      <c r="Q73" s="372" t="s">
        <v>23</v>
      </c>
      <c r="R73" s="372" t="s">
        <v>23</v>
      </c>
      <c r="S73" s="372" t="s">
        <v>23</v>
      </c>
      <c r="T73" s="372" t="s">
        <v>23</v>
      </c>
      <c r="U73" s="372" t="s">
        <v>23</v>
      </c>
      <c r="V73" s="372" t="s">
        <v>23</v>
      </c>
      <c r="W73" s="372" t="s">
        <v>23</v>
      </c>
      <c r="X73" s="372" t="s">
        <v>23</v>
      </c>
      <c r="Y73" s="372" t="s">
        <v>23</v>
      </c>
      <c r="Z73" s="372" t="s">
        <v>23</v>
      </c>
      <c r="AA73" s="372" t="s">
        <v>23</v>
      </c>
      <c r="AB73" s="372" t="s">
        <v>23</v>
      </c>
      <c r="AC73" s="372" t="s">
        <v>23</v>
      </c>
      <c r="AD73" s="372" t="s">
        <v>23</v>
      </c>
      <c r="AE73" s="372" t="s">
        <v>23</v>
      </c>
      <c r="AF73" s="372" t="s">
        <v>23</v>
      </c>
      <c r="AG73" s="372" t="s">
        <v>23</v>
      </c>
      <c r="AH73" s="372" t="s">
        <v>23</v>
      </c>
      <c r="AI73" s="50"/>
    </row>
    <row r="74" spans="2:35" s="28" customFormat="1" ht="50.1" customHeight="1" x14ac:dyDescent="0.2">
      <c r="B74" s="525"/>
      <c r="C74" s="186"/>
      <c r="D74" s="190"/>
      <c r="E74" s="190"/>
      <c r="F74" s="510"/>
      <c r="G74" s="268"/>
      <c r="H74" s="268"/>
      <c r="I74" s="262"/>
      <c r="J74" s="713"/>
      <c r="K74" s="714"/>
      <c r="L74" s="714"/>
      <c r="M74" s="653"/>
      <c r="N74" s="184"/>
      <c r="O74" s="184"/>
      <c r="P74" s="184"/>
      <c r="Q74" s="184"/>
      <c r="R74" s="184"/>
      <c r="S74" s="184"/>
      <c r="T74" s="184"/>
      <c r="U74" s="184"/>
      <c r="V74" s="184"/>
      <c r="W74" s="184"/>
      <c r="X74" s="184"/>
      <c r="Y74" s="184"/>
      <c r="Z74" s="184"/>
      <c r="AA74" s="184"/>
      <c r="AB74" s="184"/>
      <c r="AC74" s="184"/>
      <c r="AD74" s="184"/>
      <c r="AE74" s="184"/>
      <c r="AF74" s="184"/>
      <c r="AG74" s="184"/>
      <c r="AH74" s="184"/>
      <c r="AI74" s="50"/>
    </row>
    <row r="75" spans="2:35" s="28" customFormat="1" ht="26.85" customHeight="1" x14ac:dyDescent="0.2">
      <c r="B75" s="6" t="s">
        <v>136</v>
      </c>
      <c r="C75" s="6"/>
      <c r="D75" s="7" t="s">
        <v>9</v>
      </c>
      <c r="E75" s="7"/>
      <c r="F75" s="930" t="s">
        <v>10</v>
      </c>
      <c r="G75" s="930"/>
      <c r="H75" s="930"/>
      <c r="I75" s="930"/>
      <c r="J75" s="930" t="s">
        <v>11</v>
      </c>
      <c r="K75" s="930"/>
      <c r="L75" s="930"/>
      <c r="M75" s="930"/>
      <c r="N75" s="920" t="s">
        <v>12</v>
      </c>
      <c r="O75" s="920"/>
      <c r="P75" s="920"/>
      <c r="Q75" s="920" t="s">
        <v>13</v>
      </c>
      <c r="R75" s="920"/>
      <c r="S75" s="920"/>
      <c r="T75" s="920" t="s">
        <v>14</v>
      </c>
      <c r="U75" s="920"/>
      <c r="V75" s="920"/>
      <c r="W75" s="920" t="s">
        <v>15</v>
      </c>
      <c r="X75" s="920"/>
      <c r="Y75" s="920"/>
      <c r="Z75" s="920" t="s">
        <v>16</v>
      </c>
      <c r="AA75" s="920"/>
      <c r="AB75" s="920"/>
      <c r="AC75" s="920" t="s">
        <v>17</v>
      </c>
      <c r="AD75" s="920"/>
      <c r="AE75" s="920"/>
      <c r="AF75" s="920" t="s">
        <v>18</v>
      </c>
      <c r="AG75" s="920"/>
      <c r="AH75" s="920"/>
      <c r="AI75" s="50"/>
    </row>
    <row r="76" spans="2:35" ht="26.85" customHeight="1" x14ac:dyDescent="0.25">
      <c r="B76" s="198"/>
      <c r="C76" s="198"/>
      <c r="D76" s="198"/>
      <c r="E76" s="198"/>
      <c r="F76" s="182" t="s">
        <v>99</v>
      </c>
      <c r="G76" s="182" t="s">
        <v>100</v>
      </c>
      <c r="H76" s="532" t="s">
        <v>101</v>
      </c>
      <c r="I76" s="182" t="s">
        <v>102</v>
      </c>
      <c r="J76" s="452" t="s">
        <v>99</v>
      </c>
      <c r="K76" s="452" t="s">
        <v>100</v>
      </c>
      <c r="L76" s="690" t="s">
        <v>101</v>
      </c>
      <c r="M76" s="452" t="s">
        <v>102</v>
      </c>
      <c r="N76" s="183" t="s">
        <v>99</v>
      </c>
      <c r="O76" s="183" t="s">
        <v>100</v>
      </c>
      <c r="P76" s="183" t="s">
        <v>102</v>
      </c>
      <c r="Q76" s="183" t="s">
        <v>99</v>
      </c>
      <c r="R76" s="183" t="s">
        <v>100</v>
      </c>
      <c r="S76" s="183" t="s">
        <v>102</v>
      </c>
      <c r="T76" s="183" t="s">
        <v>99</v>
      </c>
      <c r="U76" s="183" t="s">
        <v>100</v>
      </c>
      <c r="V76" s="183" t="s">
        <v>102</v>
      </c>
      <c r="W76" s="183" t="s">
        <v>99</v>
      </c>
      <c r="X76" s="183" t="s">
        <v>100</v>
      </c>
      <c r="Y76" s="183" t="s">
        <v>102</v>
      </c>
      <c r="Z76" s="183" t="s">
        <v>99</v>
      </c>
      <c r="AA76" s="183" t="s">
        <v>100</v>
      </c>
      <c r="AB76" s="183" t="s">
        <v>102</v>
      </c>
      <c r="AC76" s="183" t="s">
        <v>99</v>
      </c>
      <c r="AD76" s="183" t="s">
        <v>100</v>
      </c>
      <c r="AE76" s="183" t="s">
        <v>102</v>
      </c>
      <c r="AF76" s="183" t="s">
        <v>99</v>
      </c>
      <c r="AG76" s="183" t="s">
        <v>100</v>
      </c>
      <c r="AH76" s="183" t="s">
        <v>102</v>
      </c>
      <c r="AI76" s="58"/>
    </row>
    <row r="77" spans="2:35" ht="26.85" customHeight="1" x14ac:dyDescent="0.25">
      <c r="B77" s="180" t="s">
        <v>137</v>
      </c>
      <c r="C77" s="180"/>
      <c r="D77" s="180" t="s">
        <v>25</v>
      </c>
      <c r="E77" s="180"/>
      <c r="F77" s="760">
        <v>95</v>
      </c>
      <c r="G77" s="759">
        <v>125</v>
      </c>
      <c r="H77" s="750" t="s">
        <v>23</v>
      </c>
      <c r="I77" s="456">
        <f>SUM(F77:G77)</f>
        <v>220</v>
      </c>
      <c r="J77" s="723">
        <v>88</v>
      </c>
      <c r="K77" s="722">
        <v>188</v>
      </c>
      <c r="L77" s="721" t="s">
        <v>23</v>
      </c>
      <c r="M77" s="699">
        <f>SUM(J77:K77)</f>
        <v>276</v>
      </c>
      <c r="N77" s="219">
        <v>92</v>
      </c>
      <c r="O77" s="219">
        <v>186</v>
      </c>
      <c r="P77" s="219">
        <f t="shared" ref="P77:P78" si="20">SUM(N77:O77)</f>
        <v>278</v>
      </c>
      <c r="Q77" s="192">
        <v>77</v>
      </c>
      <c r="R77" s="192">
        <v>151</v>
      </c>
      <c r="S77" s="192">
        <v>228</v>
      </c>
      <c r="T77" s="374">
        <v>37</v>
      </c>
      <c r="U77" s="374">
        <v>61</v>
      </c>
      <c r="V77" s="374">
        <f>SUM(T77:U77)</f>
        <v>98</v>
      </c>
      <c r="W77" s="374">
        <v>71</v>
      </c>
      <c r="X77" s="374">
        <v>75</v>
      </c>
      <c r="Y77" s="374">
        <f>SUM(W77:X77)</f>
        <v>146</v>
      </c>
      <c r="Z77" s="374">
        <v>59</v>
      </c>
      <c r="AA77" s="374">
        <v>55</v>
      </c>
      <c r="AB77" s="374">
        <v>114</v>
      </c>
      <c r="AC77" s="374">
        <v>50</v>
      </c>
      <c r="AD77" s="374">
        <v>127</v>
      </c>
      <c r="AE77" s="374">
        <v>177</v>
      </c>
      <c r="AF77" s="374">
        <v>16</v>
      </c>
      <c r="AG77" s="374">
        <v>37</v>
      </c>
      <c r="AH77" s="374">
        <v>53</v>
      </c>
      <c r="AI77" s="65"/>
    </row>
    <row r="78" spans="2:35" ht="26.85" customHeight="1" x14ac:dyDescent="0.25">
      <c r="B78" s="180" t="s">
        <v>138</v>
      </c>
      <c r="C78" s="180"/>
      <c r="D78" s="180" t="s">
        <v>25</v>
      </c>
      <c r="E78" s="180"/>
      <c r="F78" s="759">
        <v>48</v>
      </c>
      <c r="G78" s="760">
        <v>248</v>
      </c>
      <c r="H78" s="750" t="s">
        <v>23</v>
      </c>
      <c r="I78" s="456">
        <f>SUM(F78:G78)</f>
        <v>296</v>
      </c>
      <c r="J78" s="722">
        <v>55</v>
      </c>
      <c r="K78" s="723">
        <v>335</v>
      </c>
      <c r="L78" s="721" t="s">
        <v>23</v>
      </c>
      <c r="M78" s="699">
        <f>SUM(J78:K78)</f>
        <v>390</v>
      </c>
      <c r="N78" s="219">
        <v>72</v>
      </c>
      <c r="O78" s="219">
        <v>375</v>
      </c>
      <c r="P78" s="219">
        <f t="shared" si="20"/>
        <v>447</v>
      </c>
      <c r="Q78" s="192">
        <v>23</v>
      </c>
      <c r="R78" s="192">
        <v>162</v>
      </c>
      <c r="S78" s="192">
        <v>185</v>
      </c>
      <c r="T78" s="374">
        <v>39</v>
      </c>
      <c r="U78" s="374">
        <v>173</v>
      </c>
      <c r="V78" s="374">
        <f>SUM(T78:U78)</f>
        <v>212</v>
      </c>
      <c r="W78" s="374">
        <v>36</v>
      </c>
      <c r="X78" s="374">
        <v>204</v>
      </c>
      <c r="Y78" s="374">
        <f>SUM(W78:X78)</f>
        <v>240</v>
      </c>
      <c r="Z78" s="374">
        <v>32</v>
      </c>
      <c r="AA78" s="374">
        <v>123</v>
      </c>
      <c r="AB78" s="374">
        <f>SUM(Z78:AA78)</f>
        <v>155</v>
      </c>
      <c r="AC78" s="374">
        <v>125</v>
      </c>
      <c r="AD78" s="374">
        <v>276</v>
      </c>
      <c r="AE78" s="374">
        <f>SUM(AC78:AD78)</f>
        <v>401</v>
      </c>
      <c r="AF78" s="374">
        <v>122</v>
      </c>
      <c r="AG78" s="374">
        <v>393</v>
      </c>
      <c r="AH78" s="374">
        <f>SUM(AF78:AG78)</f>
        <v>515</v>
      </c>
      <c r="AI78" s="65"/>
    </row>
    <row r="79" spans="2:35" ht="26.85" customHeight="1" x14ac:dyDescent="0.25">
      <c r="B79" s="193" t="s">
        <v>113</v>
      </c>
      <c r="C79" s="188"/>
      <c r="D79" s="180" t="s">
        <v>25</v>
      </c>
      <c r="E79" s="180"/>
      <c r="F79" s="750" t="s">
        <v>23</v>
      </c>
      <c r="G79" s="750" t="s">
        <v>23</v>
      </c>
      <c r="H79" s="750" t="s">
        <v>23</v>
      </c>
      <c r="I79" s="456" t="str">
        <f>H79</f>
        <v>-</v>
      </c>
      <c r="J79" s="721" t="s">
        <v>23</v>
      </c>
      <c r="K79" s="721" t="s">
        <v>23</v>
      </c>
      <c r="L79" s="723">
        <v>2</v>
      </c>
      <c r="M79" s="699">
        <f>L79</f>
        <v>2</v>
      </c>
      <c r="N79" s="372" t="s">
        <v>23</v>
      </c>
      <c r="O79" s="372" t="s">
        <v>23</v>
      </c>
      <c r="P79" s="372" t="s">
        <v>23</v>
      </c>
      <c r="Q79" s="372" t="s">
        <v>23</v>
      </c>
      <c r="R79" s="372" t="s">
        <v>23</v>
      </c>
      <c r="S79" s="372" t="s">
        <v>23</v>
      </c>
      <c r="T79" s="372" t="s">
        <v>23</v>
      </c>
      <c r="U79" s="372" t="s">
        <v>23</v>
      </c>
      <c r="V79" s="372" t="s">
        <v>23</v>
      </c>
      <c r="W79" s="372" t="s">
        <v>23</v>
      </c>
      <c r="X79" s="372" t="s">
        <v>23</v>
      </c>
      <c r="Y79" s="372" t="s">
        <v>23</v>
      </c>
      <c r="Z79" s="372" t="s">
        <v>23</v>
      </c>
      <c r="AA79" s="372" t="s">
        <v>23</v>
      </c>
      <c r="AB79" s="372" t="s">
        <v>23</v>
      </c>
      <c r="AC79" s="372" t="s">
        <v>23</v>
      </c>
      <c r="AD79" s="372" t="s">
        <v>23</v>
      </c>
      <c r="AE79" s="372" t="s">
        <v>23</v>
      </c>
      <c r="AF79" s="372" t="s">
        <v>23</v>
      </c>
      <c r="AG79" s="372" t="s">
        <v>23</v>
      </c>
      <c r="AH79" s="372" t="s">
        <v>23</v>
      </c>
      <c r="AI79" s="65"/>
    </row>
    <row r="80" spans="2:35" ht="26.85" customHeight="1" x14ac:dyDescent="0.25">
      <c r="B80" s="231" t="s">
        <v>102</v>
      </c>
      <c r="C80" s="180"/>
      <c r="D80" s="180" t="s">
        <v>25</v>
      </c>
      <c r="E80" s="180"/>
      <c r="F80" s="456">
        <f t="shared" ref="F80:I80" si="21">SUM(F77:F79)</f>
        <v>143</v>
      </c>
      <c r="G80" s="456">
        <f t="shared" si="21"/>
        <v>373</v>
      </c>
      <c r="H80" s="750" t="s">
        <v>23</v>
      </c>
      <c r="I80" s="456">
        <f t="shared" si="21"/>
        <v>516</v>
      </c>
      <c r="J80" s="699">
        <f t="shared" ref="J80:M80" si="22">SUM(J77:J79)</f>
        <v>143</v>
      </c>
      <c r="K80" s="699">
        <f t="shared" si="22"/>
        <v>523</v>
      </c>
      <c r="L80" s="699">
        <f t="shared" si="22"/>
        <v>2</v>
      </c>
      <c r="M80" s="699">
        <f t="shared" si="22"/>
        <v>668</v>
      </c>
      <c r="N80" s="372" t="s">
        <v>23</v>
      </c>
      <c r="O80" s="372" t="s">
        <v>23</v>
      </c>
      <c r="P80" s="372" t="s">
        <v>23</v>
      </c>
      <c r="Q80" s="372" t="s">
        <v>23</v>
      </c>
      <c r="R80" s="372" t="s">
        <v>23</v>
      </c>
      <c r="S80" s="372" t="s">
        <v>23</v>
      </c>
      <c r="T80" s="372" t="s">
        <v>23</v>
      </c>
      <c r="U80" s="372" t="s">
        <v>23</v>
      </c>
      <c r="V80" s="372" t="s">
        <v>23</v>
      </c>
      <c r="W80" s="372" t="s">
        <v>23</v>
      </c>
      <c r="X80" s="372" t="s">
        <v>23</v>
      </c>
      <c r="Y80" s="372" t="s">
        <v>23</v>
      </c>
      <c r="Z80" s="372" t="s">
        <v>23</v>
      </c>
      <c r="AA80" s="372" t="s">
        <v>23</v>
      </c>
      <c r="AB80" s="372" t="s">
        <v>23</v>
      </c>
      <c r="AC80" s="372" t="s">
        <v>23</v>
      </c>
      <c r="AD80" s="372" t="s">
        <v>23</v>
      </c>
      <c r="AE80" s="372" t="s">
        <v>23</v>
      </c>
      <c r="AF80" s="372" t="s">
        <v>23</v>
      </c>
      <c r="AG80" s="372" t="s">
        <v>23</v>
      </c>
      <c r="AH80" s="372" t="s">
        <v>23</v>
      </c>
      <c r="AI80" s="65"/>
    </row>
    <row r="81" spans="2:35" ht="26.85" customHeight="1" x14ac:dyDescent="0.25">
      <c r="B81" s="231" t="s">
        <v>139</v>
      </c>
      <c r="C81" s="198"/>
      <c r="D81" s="198"/>
      <c r="E81" s="198"/>
      <c r="F81" s="456"/>
      <c r="G81" s="456"/>
      <c r="H81" s="456"/>
      <c r="I81" s="456"/>
      <c r="J81" s="699"/>
      <c r="K81" s="699"/>
      <c r="L81" s="699"/>
      <c r="M81" s="699"/>
      <c r="N81" s="372"/>
      <c r="O81" s="372"/>
      <c r="P81" s="372"/>
      <c r="Q81" s="372"/>
      <c r="R81" s="372"/>
      <c r="S81" s="372"/>
      <c r="T81" s="372"/>
      <c r="U81" s="372"/>
      <c r="V81" s="372"/>
      <c r="W81" s="372"/>
      <c r="X81" s="372"/>
      <c r="Y81" s="372"/>
      <c r="Z81" s="372"/>
      <c r="AA81" s="372"/>
      <c r="AB81" s="372"/>
      <c r="AC81" s="372"/>
      <c r="AD81" s="372"/>
      <c r="AE81" s="372"/>
      <c r="AF81" s="372"/>
      <c r="AG81" s="372"/>
      <c r="AH81" s="372"/>
      <c r="AI81" s="65"/>
    </row>
    <row r="82" spans="2:35" ht="26.85" customHeight="1" x14ac:dyDescent="0.25">
      <c r="B82" s="345" t="s">
        <v>108</v>
      </c>
      <c r="C82" s="344"/>
      <c r="D82" s="286" t="s">
        <v>25</v>
      </c>
      <c r="E82" s="286"/>
      <c r="F82" s="456">
        <v>53</v>
      </c>
      <c r="G82" s="456">
        <v>115</v>
      </c>
      <c r="H82" s="750" t="s">
        <v>23</v>
      </c>
      <c r="I82" s="456">
        <f>SUM(F82:H82)</f>
        <v>168</v>
      </c>
      <c r="J82" s="699">
        <v>55</v>
      </c>
      <c r="K82" s="699">
        <v>177</v>
      </c>
      <c r="L82" s="721" t="s">
        <v>23</v>
      </c>
      <c r="M82" s="699">
        <f>SUM(J82:L82)</f>
        <v>232</v>
      </c>
      <c r="N82" s="372" t="s">
        <v>23</v>
      </c>
      <c r="O82" s="372" t="s">
        <v>23</v>
      </c>
      <c r="P82" s="372" t="s">
        <v>23</v>
      </c>
      <c r="Q82" s="372" t="s">
        <v>23</v>
      </c>
      <c r="R82" s="372" t="s">
        <v>23</v>
      </c>
      <c r="S82" s="372" t="s">
        <v>23</v>
      </c>
      <c r="T82" s="372" t="s">
        <v>23</v>
      </c>
      <c r="U82" s="372" t="s">
        <v>23</v>
      </c>
      <c r="V82" s="372" t="s">
        <v>23</v>
      </c>
      <c r="W82" s="372" t="s">
        <v>23</v>
      </c>
      <c r="X82" s="372" t="s">
        <v>23</v>
      </c>
      <c r="Y82" s="372" t="s">
        <v>23</v>
      </c>
      <c r="Z82" s="372" t="s">
        <v>23</v>
      </c>
      <c r="AA82" s="372" t="s">
        <v>23</v>
      </c>
      <c r="AB82" s="372" t="s">
        <v>23</v>
      </c>
      <c r="AC82" s="372" t="s">
        <v>23</v>
      </c>
      <c r="AD82" s="372" t="s">
        <v>23</v>
      </c>
      <c r="AE82" s="372" t="s">
        <v>23</v>
      </c>
      <c r="AF82" s="372" t="s">
        <v>23</v>
      </c>
      <c r="AG82" s="372" t="s">
        <v>23</v>
      </c>
      <c r="AH82" s="372" t="s">
        <v>23</v>
      </c>
      <c r="AI82" s="65"/>
    </row>
    <row r="83" spans="2:35" ht="26.85" customHeight="1" x14ac:dyDescent="0.25">
      <c r="B83" s="345" t="s">
        <v>109</v>
      </c>
      <c r="C83" s="344"/>
      <c r="D83" s="286" t="s">
        <v>25</v>
      </c>
      <c r="E83" s="286"/>
      <c r="F83" s="456">
        <v>90</v>
      </c>
      <c r="G83" s="456">
        <v>258</v>
      </c>
      <c r="H83" s="750" t="s">
        <v>23</v>
      </c>
      <c r="I83" s="456">
        <f>SUM(F83:H83)</f>
        <v>348</v>
      </c>
      <c r="J83" s="699">
        <v>87</v>
      </c>
      <c r="K83" s="699">
        <v>346</v>
      </c>
      <c r="L83" s="721" t="s">
        <v>23</v>
      </c>
      <c r="M83" s="699">
        <f>SUM(J83:L83)</f>
        <v>433</v>
      </c>
      <c r="N83" s="372" t="s">
        <v>23</v>
      </c>
      <c r="O83" s="372" t="s">
        <v>23</v>
      </c>
      <c r="P83" s="372" t="s">
        <v>23</v>
      </c>
      <c r="Q83" s="372" t="s">
        <v>23</v>
      </c>
      <c r="R83" s="372" t="s">
        <v>23</v>
      </c>
      <c r="S83" s="372" t="s">
        <v>23</v>
      </c>
      <c r="T83" s="372" t="s">
        <v>23</v>
      </c>
      <c r="U83" s="372" t="s">
        <v>23</v>
      </c>
      <c r="V83" s="372" t="s">
        <v>23</v>
      </c>
      <c r="W83" s="372" t="s">
        <v>23</v>
      </c>
      <c r="X83" s="372" t="s">
        <v>23</v>
      </c>
      <c r="Y83" s="372" t="s">
        <v>23</v>
      </c>
      <c r="Z83" s="372" t="s">
        <v>23</v>
      </c>
      <c r="AA83" s="372" t="s">
        <v>23</v>
      </c>
      <c r="AB83" s="372" t="s">
        <v>23</v>
      </c>
      <c r="AC83" s="372" t="s">
        <v>23</v>
      </c>
      <c r="AD83" s="372" t="s">
        <v>23</v>
      </c>
      <c r="AE83" s="372" t="s">
        <v>23</v>
      </c>
      <c r="AF83" s="372" t="s">
        <v>23</v>
      </c>
      <c r="AG83" s="372" t="s">
        <v>23</v>
      </c>
      <c r="AH83" s="372" t="s">
        <v>23</v>
      </c>
      <c r="AI83" s="65"/>
    </row>
    <row r="84" spans="2:35" ht="26.85" customHeight="1" x14ac:dyDescent="0.25">
      <c r="B84" s="345" t="s">
        <v>110</v>
      </c>
      <c r="C84" s="344"/>
      <c r="D84" s="286" t="s">
        <v>25</v>
      </c>
      <c r="E84" s="286"/>
      <c r="F84" s="750" t="s">
        <v>23</v>
      </c>
      <c r="G84" s="750" t="s">
        <v>23</v>
      </c>
      <c r="H84" s="750" t="s">
        <v>23</v>
      </c>
      <c r="I84" s="456">
        <f>SUM(F84:H84)</f>
        <v>0</v>
      </c>
      <c r="J84" s="699">
        <v>1</v>
      </c>
      <c r="K84" s="721" t="s">
        <v>23</v>
      </c>
      <c r="L84" s="721" t="s">
        <v>23</v>
      </c>
      <c r="M84" s="699">
        <f>SUM(J84:L84)</f>
        <v>1</v>
      </c>
      <c r="N84" s="372" t="s">
        <v>23</v>
      </c>
      <c r="O84" s="372" t="s">
        <v>23</v>
      </c>
      <c r="P84" s="372" t="s">
        <v>23</v>
      </c>
      <c r="Q84" s="372" t="s">
        <v>23</v>
      </c>
      <c r="R84" s="372" t="s">
        <v>23</v>
      </c>
      <c r="S84" s="372" t="s">
        <v>23</v>
      </c>
      <c r="T84" s="372" t="s">
        <v>23</v>
      </c>
      <c r="U84" s="372" t="s">
        <v>23</v>
      </c>
      <c r="V84" s="372" t="s">
        <v>23</v>
      </c>
      <c r="W84" s="372" t="s">
        <v>23</v>
      </c>
      <c r="X84" s="372" t="s">
        <v>23</v>
      </c>
      <c r="Y84" s="372" t="s">
        <v>23</v>
      </c>
      <c r="Z84" s="372" t="s">
        <v>23</v>
      </c>
      <c r="AA84" s="372" t="s">
        <v>23</v>
      </c>
      <c r="AB84" s="372" t="s">
        <v>23</v>
      </c>
      <c r="AC84" s="372" t="s">
        <v>23</v>
      </c>
      <c r="AD84" s="372" t="s">
        <v>23</v>
      </c>
      <c r="AE84" s="372" t="s">
        <v>23</v>
      </c>
      <c r="AF84" s="372" t="s">
        <v>23</v>
      </c>
      <c r="AG84" s="372" t="s">
        <v>23</v>
      </c>
      <c r="AH84" s="372" t="s">
        <v>23</v>
      </c>
      <c r="AI84" s="65"/>
    </row>
    <row r="85" spans="2:35" ht="26.85" customHeight="1" x14ac:dyDescent="0.25">
      <c r="B85" s="345" t="s">
        <v>113</v>
      </c>
      <c r="C85" s="344"/>
      <c r="D85" s="180" t="s">
        <v>25</v>
      </c>
      <c r="E85" s="180"/>
      <c r="F85" s="750" t="s">
        <v>23</v>
      </c>
      <c r="G85" s="750" t="s">
        <v>23</v>
      </c>
      <c r="H85" s="750" t="s">
        <v>23</v>
      </c>
      <c r="I85" s="456">
        <f>SUM(F85:H85)</f>
        <v>0</v>
      </c>
      <c r="J85" s="721" t="s">
        <v>23</v>
      </c>
      <c r="K85" s="721" t="s">
        <v>23</v>
      </c>
      <c r="L85" s="699">
        <v>2</v>
      </c>
      <c r="M85" s="699">
        <f>SUM(J85:L85)</f>
        <v>2</v>
      </c>
      <c r="N85" s="372" t="s">
        <v>23</v>
      </c>
      <c r="O85" s="372" t="s">
        <v>23</v>
      </c>
      <c r="P85" s="372" t="s">
        <v>23</v>
      </c>
      <c r="Q85" s="372" t="s">
        <v>23</v>
      </c>
      <c r="R85" s="372" t="s">
        <v>23</v>
      </c>
      <c r="S85" s="372" t="s">
        <v>23</v>
      </c>
      <c r="T85" s="372" t="s">
        <v>23</v>
      </c>
      <c r="U85" s="372" t="s">
        <v>23</v>
      </c>
      <c r="V85" s="372" t="s">
        <v>23</v>
      </c>
      <c r="W85" s="372" t="s">
        <v>23</v>
      </c>
      <c r="X85" s="372" t="s">
        <v>23</v>
      </c>
      <c r="Y85" s="372" t="s">
        <v>23</v>
      </c>
      <c r="Z85" s="372" t="s">
        <v>23</v>
      </c>
      <c r="AA85" s="372" t="s">
        <v>23</v>
      </c>
      <c r="AB85" s="372" t="s">
        <v>23</v>
      </c>
      <c r="AC85" s="372" t="s">
        <v>23</v>
      </c>
      <c r="AD85" s="372" t="s">
        <v>23</v>
      </c>
      <c r="AE85" s="372" t="s">
        <v>23</v>
      </c>
      <c r="AF85" s="372" t="s">
        <v>23</v>
      </c>
      <c r="AG85" s="372" t="s">
        <v>23</v>
      </c>
      <c r="AH85" s="372" t="s">
        <v>23</v>
      </c>
      <c r="AI85" s="65"/>
    </row>
    <row r="86" spans="2:35" ht="26.85" customHeight="1" x14ac:dyDescent="0.25">
      <c r="B86" s="345" t="s">
        <v>102</v>
      </c>
      <c r="C86" s="347"/>
      <c r="D86" s="286" t="s">
        <v>25</v>
      </c>
      <c r="E86" s="286"/>
      <c r="F86" s="456">
        <f t="shared" ref="F86:G86" si="23">SUM(F82:F85)</f>
        <v>143</v>
      </c>
      <c r="G86" s="456">
        <f t="shared" si="23"/>
        <v>373</v>
      </c>
      <c r="H86" s="750" t="s">
        <v>23</v>
      </c>
      <c r="I86" s="456">
        <f t="shared" ref="I86" si="24">SUM(I82:I85)</f>
        <v>516</v>
      </c>
      <c r="J86" s="699">
        <f t="shared" ref="J86:M86" si="25">SUM(J82:J85)</f>
        <v>143</v>
      </c>
      <c r="K86" s="699">
        <f t="shared" si="25"/>
        <v>523</v>
      </c>
      <c r="L86" s="699">
        <f t="shared" si="25"/>
        <v>2</v>
      </c>
      <c r="M86" s="699">
        <f t="shared" si="25"/>
        <v>668</v>
      </c>
      <c r="N86" s="372" t="s">
        <v>23</v>
      </c>
      <c r="O86" s="372" t="s">
        <v>23</v>
      </c>
      <c r="P86" s="372" t="s">
        <v>23</v>
      </c>
      <c r="Q86" s="372" t="s">
        <v>23</v>
      </c>
      <c r="R86" s="372" t="s">
        <v>23</v>
      </c>
      <c r="S86" s="372" t="s">
        <v>23</v>
      </c>
      <c r="T86" s="372" t="s">
        <v>23</v>
      </c>
      <c r="U86" s="372" t="s">
        <v>23</v>
      </c>
      <c r="V86" s="372" t="s">
        <v>23</v>
      </c>
      <c r="W86" s="372" t="s">
        <v>23</v>
      </c>
      <c r="X86" s="372" t="s">
        <v>23</v>
      </c>
      <c r="Y86" s="372" t="s">
        <v>23</v>
      </c>
      <c r="Z86" s="372" t="s">
        <v>23</v>
      </c>
      <c r="AA86" s="372" t="s">
        <v>23</v>
      </c>
      <c r="AB86" s="372" t="s">
        <v>23</v>
      </c>
      <c r="AC86" s="372" t="s">
        <v>23</v>
      </c>
      <c r="AD86" s="372" t="s">
        <v>23</v>
      </c>
      <c r="AE86" s="372" t="s">
        <v>23</v>
      </c>
      <c r="AF86" s="372" t="s">
        <v>23</v>
      </c>
      <c r="AG86" s="372" t="s">
        <v>23</v>
      </c>
      <c r="AH86" s="372" t="s">
        <v>23</v>
      </c>
      <c r="AI86" s="65"/>
    </row>
    <row r="87" spans="2:35" ht="26.85" customHeight="1" x14ac:dyDescent="0.25">
      <c r="B87" s="231" t="s">
        <v>140</v>
      </c>
      <c r="C87" s="198"/>
      <c r="D87" s="286"/>
      <c r="E87" s="286"/>
      <c r="F87" s="456"/>
      <c r="G87" s="456"/>
      <c r="H87" s="456"/>
      <c r="I87" s="456"/>
      <c r="J87" s="699"/>
      <c r="K87" s="699"/>
      <c r="L87" s="699"/>
      <c r="M87" s="699"/>
      <c r="N87" s="372"/>
      <c r="O87" s="372"/>
      <c r="P87" s="372"/>
      <c r="Q87" s="372"/>
      <c r="R87" s="372"/>
      <c r="S87" s="372"/>
      <c r="T87" s="372"/>
      <c r="U87" s="372"/>
      <c r="V87" s="372"/>
      <c r="W87" s="372"/>
      <c r="X87" s="372"/>
      <c r="Y87" s="372"/>
      <c r="Z87" s="372"/>
      <c r="AA87" s="372"/>
      <c r="AB87" s="372"/>
      <c r="AC87" s="372"/>
      <c r="AD87" s="372"/>
      <c r="AE87" s="372"/>
      <c r="AF87" s="372"/>
      <c r="AG87" s="372"/>
      <c r="AH87" s="372"/>
      <c r="AI87" s="65"/>
    </row>
    <row r="88" spans="2:35" ht="26.85" customHeight="1" x14ac:dyDescent="0.25">
      <c r="B88" s="345" t="s">
        <v>141</v>
      </c>
      <c r="C88" s="344"/>
      <c r="D88" s="286" t="s">
        <v>25</v>
      </c>
      <c r="E88" s="286"/>
      <c r="F88" s="456">
        <v>18</v>
      </c>
      <c r="G88" s="456">
        <v>44</v>
      </c>
      <c r="H88" s="750" t="s">
        <v>23</v>
      </c>
      <c r="I88" s="456">
        <f t="shared" ref="I88:I93" si="26">SUM(F88:H88)</f>
        <v>62</v>
      </c>
      <c r="J88" s="699">
        <v>21</v>
      </c>
      <c r="K88" s="699">
        <v>56</v>
      </c>
      <c r="L88" s="721" t="s">
        <v>23</v>
      </c>
      <c r="M88" s="699">
        <f t="shared" ref="M88:M93" si="27">SUM(J88:L88)</f>
        <v>77</v>
      </c>
      <c r="N88" s="372" t="s">
        <v>23</v>
      </c>
      <c r="O88" s="372" t="s">
        <v>23</v>
      </c>
      <c r="P88" s="372" t="s">
        <v>23</v>
      </c>
      <c r="Q88" s="372" t="s">
        <v>23</v>
      </c>
      <c r="R88" s="372" t="s">
        <v>23</v>
      </c>
      <c r="S88" s="372" t="s">
        <v>23</v>
      </c>
      <c r="T88" s="372" t="s">
        <v>23</v>
      </c>
      <c r="U88" s="372" t="s">
        <v>23</v>
      </c>
      <c r="V88" s="372" t="s">
        <v>23</v>
      </c>
      <c r="W88" s="372" t="s">
        <v>23</v>
      </c>
      <c r="X88" s="372" t="s">
        <v>23</v>
      </c>
      <c r="Y88" s="372" t="s">
        <v>23</v>
      </c>
      <c r="Z88" s="372" t="s">
        <v>23</v>
      </c>
      <c r="AA88" s="372" t="s">
        <v>23</v>
      </c>
      <c r="AB88" s="372" t="s">
        <v>23</v>
      </c>
      <c r="AC88" s="372" t="s">
        <v>23</v>
      </c>
      <c r="AD88" s="372" t="s">
        <v>23</v>
      </c>
      <c r="AE88" s="372" t="s">
        <v>23</v>
      </c>
      <c r="AF88" s="372" t="s">
        <v>23</v>
      </c>
      <c r="AG88" s="372" t="s">
        <v>23</v>
      </c>
      <c r="AH88" s="372" t="s">
        <v>23</v>
      </c>
      <c r="AI88" s="65"/>
    </row>
    <row r="89" spans="2:35" ht="26.85" customHeight="1" x14ac:dyDescent="0.25">
      <c r="B89" s="345" t="s">
        <v>142</v>
      </c>
      <c r="C89" s="344"/>
      <c r="D89" s="286" t="s">
        <v>25</v>
      </c>
      <c r="E89" s="286"/>
      <c r="F89" s="456">
        <v>33</v>
      </c>
      <c r="G89" s="456">
        <v>85</v>
      </c>
      <c r="H89" s="750" t="s">
        <v>23</v>
      </c>
      <c r="I89" s="456">
        <f t="shared" si="26"/>
        <v>118</v>
      </c>
      <c r="J89" s="699">
        <v>38</v>
      </c>
      <c r="K89" s="699">
        <v>126</v>
      </c>
      <c r="L89" s="721" t="s">
        <v>23</v>
      </c>
      <c r="M89" s="699">
        <f t="shared" si="27"/>
        <v>164</v>
      </c>
      <c r="N89" s="372" t="s">
        <v>23</v>
      </c>
      <c r="O89" s="372" t="s">
        <v>23</v>
      </c>
      <c r="P89" s="372" t="s">
        <v>23</v>
      </c>
      <c r="Q89" s="372" t="s">
        <v>23</v>
      </c>
      <c r="R89" s="372" t="s">
        <v>23</v>
      </c>
      <c r="S89" s="372" t="s">
        <v>23</v>
      </c>
      <c r="T89" s="372" t="s">
        <v>23</v>
      </c>
      <c r="U89" s="372" t="s">
        <v>23</v>
      </c>
      <c r="V89" s="372" t="s">
        <v>23</v>
      </c>
      <c r="W89" s="372" t="s">
        <v>23</v>
      </c>
      <c r="X89" s="372" t="s">
        <v>23</v>
      </c>
      <c r="Y89" s="372" t="s">
        <v>23</v>
      </c>
      <c r="Z89" s="372" t="s">
        <v>23</v>
      </c>
      <c r="AA89" s="372" t="s">
        <v>23</v>
      </c>
      <c r="AB89" s="372" t="s">
        <v>23</v>
      </c>
      <c r="AC89" s="372" t="s">
        <v>23</v>
      </c>
      <c r="AD89" s="372" t="s">
        <v>23</v>
      </c>
      <c r="AE89" s="372" t="s">
        <v>23</v>
      </c>
      <c r="AF89" s="372" t="s">
        <v>23</v>
      </c>
      <c r="AG89" s="372" t="s">
        <v>23</v>
      </c>
      <c r="AH89" s="372" t="s">
        <v>23</v>
      </c>
      <c r="AI89" s="65"/>
    </row>
    <row r="90" spans="2:35" ht="26.85" customHeight="1" x14ac:dyDescent="0.25">
      <c r="B90" s="345" t="s">
        <v>143</v>
      </c>
      <c r="C90" s="344"/>
      <c r="D90" s="286" t="s">
        <v>25</v>
      </c>
      <c r="E90" s="286"/>
      <c r="F90" s="456">
        <v>50</v>
      </c>
      <c r="G90" s="456">
        <v>141</v>
      </c>
      <c r="H90" s="750" t="s">
        <v>23</v>
      </c>
      <c r="I90" s="456">
        <f t="shared" si="26"/>
        <v>191</v>
      </c>
      <c r="J90" s="699">
        <v>45</v>
      </c>
      <c r="K90" s="699">
        <v>203</v>
      </c>
      <c r="L90" s="721" t="s">
        <v>23</v>
      </c>
      <c r="M90" s="699">
        <f t="shared" si="27"/>
        <v>248</v>
      </c>
      <c r="N90" s="372" t="s">
        <v>23</v>
      </c>
      <c r="O90" s="372" t="s">
        <v>23</v>
      </c>
      <c r="P90" s="372" t="s">
        <v>23</v>
      </c>
      <c r="Q90" s="372" t="s">
        <v>23</v>
      </c>
      <c r="R90" s="372" t="s">
        <v>23</v>
      </c>
      <c r="S90" s="372" t="s">
        <v>23</v>
      </c>
      <c r="T90" s="372" t="s">
        <v>23</v>
      </c>
      <c r="U90" s="372" t="s">
        <v>23</v>
      </c>
      <c r="V90" s="372" t="s">
        <v>23</v>
      </c>
      <c r="W90" s="372" t="s">
        <v>23</v>
      </c>
      <c r="X90" s="372" t="s">
        <v>23</v>
      </c>
      <c r="Y90" s="372" t="s">
        <v>23</v>
      </c>
      <c r="Z90" s="372" t="s">
        <v>23</v>
      </c>
      <c r="AA90" s="372" t="s">
        <v>23</v>
      </c>
      <c r="AB90" s="372" t="s">
        <v>23</v>
      </c>
      <c r="AC90" s="372" t="s">
        <v>23</v>
      </c>
      <c r="AD90" s="372" t="s">
        <v>23</v>
      </c>
      <c r="AE90" s="372" t="s">
        <v>23</v>
      </c>
      <c r="AF90" s="372" t="s">
        <v>23</v>
      </c>
      <c r="AG90" s="372" t="s">
        <v>23</v>
      </c>
      <c r="AH90" s="372" t="s">
        <v>23</v>
      </c>
      <c r="AI90" s="65"/>
    </row>
    <row r="91" spans="2:35" ht="26.85" customHeight="1" x14ac:dyDescent="0.25">
      <c r="B91" s="345" t="s">
        <v>144</v>
      </c>
      <c r="C91" s="344"/>
      <c r="D91" s="286" t="s">
        <v>25</v>
      </c>
      <c r="E91" s="286"/>
      <c r="F91" s="456">
        <v>32</v>
      </c>
      <c r="G91" s="456">
        <v>78</v>
      </c>
      <c r="H91" s="750" t="s">
        <v>23</v>
      </c>
      <c r="I91" s="456">
        <f t="shared" si="26"/>
        <v>110</v>
      </c>
      <c r="J91" s="699">
        <v>30</v>
      </c>
      <c r="K91" s="699">
        <v>106</v>
      </c>
      <c r="L91" s="721" t="s">
        <v>23</v>
      </c>
      <c r="M91" s="699">
        <f t="shared" si="27"/>
        <v>136</v>
      </c>
      <c r="N91" s="372" t="s">
        <v>23</v>
      </c>
      <c r="O91" s="372" t="s">
        <v>23</v>
      </c>
      <c r="P91" s="372" t="s">
        <v>23</v>
      </c>
      <c r="Q91" s="372" t="s">
        <v>23</v>
      </c>
      <c r="R91" s="372" t="s">
        <v>23</v>
      </c>
      <c r="S91" s="372" t="s">
        <v>23</v>
      </c>
      <c r="T91" s="372" t="s">
        <v>23</v>
      </c>
      <c r="U91" s="372" t="s">
        <v>23</v>
      </c>
      <c r="V91" s="372" t="s">
        <v>23</v>
      </c>
      <c r="W91" s="372" t="s">
        <v>23</v>
      </c>
      <c r="X91" s="372" t="s">
        <v>23</v>
      </c>
      <c r="Y91" s="372" t="s">
        <v>23</v>
      </c>
      <c r="Z91" s="372" t="s">
        <v>23</v>
      </c>
      <c r="AA91" s="372" t="s">
        <v>23</v>
      </c>
      <c r="AB91" s="372" t="s">
        <v>23</v>
      </c>
      <c r="AC91" s="372" t="s">
        <v>23</v>
      </c>
      <c r="AD91" s="372" t="s">
        <v>23</v>
      </c>
      <c r="AE91" s="372" t="s">
        <v>23</v>
      </c>
      <c r="AF91" s="372" t="s">
        <v>23</v>
      </c>
      <c r="AG91" s="372" t="s">
        <v>23</v>
      </c>
      <c r="AH91" s="372" t="s">
        <v>23</v>
      </c>
      <c r="AI91" s="65"/>
    </row>
    <row r="92" spans="2:35" ht="26.85" customHeight="1" x14ac:dyDescent="0.25">
      <c r="B92" s="345" t="s">
        <v>145</v>
      </c>
      <c r="C92" s="344"/>
      <c r="D92" s="286" t="s">
        <v>25</v>
      </c>
      <c r="E92" s="286"/>
      <c r="F92" s="456">
        <v>9</v>
      </c>
      <c r="G92" s="456">
        <v>20</v>
      </c>
      <c r="H92" s="750" t="s">
        <v>23</v>
      </c>
      <c r="I92" s="456">
        <f t="shared" si="26"/>
        <v>29</v>
      </c>
      <c r="J92" s="699">
        <v>9</v>
      </c>
      <c r="K92" s="699">
        <v>30</v>
      </c>
      <c r="L92" s="721" t="s">
        <v>23</v>
      </c>
      <c r="M92" s="699">
        <f t="shared" si="27"/>
        <v>39</v>
      </c>
      <c r="N92" s="372" t="s">
        <v>23</v>
      </c>
      <c r="O92" s="372" t="s">
        <v>23</v>
      </c>
      <c r="P92" s="372" t="s">
        <v>23</v>
      </c>
      <c r="Q92" s="372" t="s">
        <v>23</v>
      </c>
      <c r="R92" s="372" t="s">
        <v>23</v>
      </c>
      <c r="S92" s="372" t="s">
        <v>23</v>
      </c>
      <c r="T92" s="372" t="s">
        <v>23</v>
      </c>
      <c r="U92" s="372" t="s">
        <v>23</v>
      </c>
      <c r="V92" s="372" t="s">
        <v>23</v>
      </c>
      <c r="W92" s="372" t="s">
        <v>23</v>
      </c>
      <c r="X92" s="372" t="s">
        <v>23</v>
      </c>
      <c r="Y92" s="372" t="s">
        <v>23</v>
      </c>
      <c r="Z92" s="372" t="s">
        <v>23</v>
      </c>
      <c r="AA92" s="372" t="s">
        <v>23</v>
      </c>
      <c r="AB92" s="372" t="s">
        <v>23</v>
      </c>
      <c r="AC92" s="372" t="s">
        <v>23</v>
      </c>
      <c r="AD92" s="372" t="s">
        <v>23</v>
      </c>
      <c r="AE92" s="372" t="s">
        <v>23</v>
      </c>
      <c r="AF92" s="372" t="s">
        <v>23</v>
      </c>
      <c r="AG92" s="372" t="s">
        <v>23</v>
      </c>
      <c r="AH92" s="372" t="s">
        <v>23</v>
      </c>
      <c r="AI92" s="65"/>
    </row>
    <row r="93" spans="2:35" ht="26.85" customHeight="1" x14ac:dyDescent="0.25">
      <c r="B93" s="345" t="s">
        <v>146</v>
      </c>
      <c r="C93" s="344"/>
      <c r="D93" s="286" t="s">
        <v>25</v>
      </c>
      <c r="E93" s="286"/>
      <c r="F93" s="456">
        <v>1</v>
      </c>
      <c r="G93" s="456">
        <v>5</v>
      </c>
      <c r="H93" s="750" t="s">
        <v>23</v>
      </c>
      <c r="I93" s="456">
        <f t="shared" si="26"/>
        <v>6</v>
      </c>
      <c r="J93" s="721" t="s">
        <v>23</v>
      </c>
      <c r="K93" s="699">
        <v>2</v>
      </c>
      <c r="L93" s="721" t="s">
        <v>23</v>
      </c>
      <c r="M93" s="699">
        <f t="shared" si="27"/>
        <v>2</v>
      </c>
      <c r="N93" s="372" t="s">
        <v>23</v>
      </c>
      <c r="O93" s="372" t="s">
        <v>23</v>
      </c>
      <c r="P93" s="372" t="s">
        <v>23</v>
      </c>
      <c r="Q93" s="372" t="s">
        <v>23</v>
      </c>
      <c r="R93" s="372" t="s">
        <v>23</v>
      </c>
      <c r="S93" s="372" t="s">
        <v>23</v>
      </c>
      <c r="T93" s="372" t="s">
        <v>23</v>
      </c>
      <c r="U93" s="372" t="s">
        <v>23</v>
      </c>
      <c r="V93" s="372" t="s">
        <v>23</v>
      </c>
      <c r="W93" s="372" t="s">
        <v>23</v>
      </c>
      <c r="X93" s="372" t="s">
        <v>23</v>
      </c>
      <c r="Y93" s="372" t="s">
        <v>23</v>
      </c>
      <c r="Z93" s="372" t="s">
        <v>23</v>
      </c>
      <c r="AA93" s="372" t="s">
        <v>23</v>
      </c>
      <c r="AB93" s="372" t="s">
        <v>23</v>
      </c>
      <c r="AC93" s="372" t="s">
        <v>23</v>
      </c>
      <c r="AD93" s="372" t="s">
        <v>23</v>
      </c>
      <c r="AE93" s="372" t="s">
        <v>23</v>
      </c>
      <c r="AF93" s="372" t="s">
        <v>23</v>
      </c>
      <c r="AG93" s="372" t="s">
        <v>23</v>
      </c>
      <c r="AH93" s="372" t="s">
        <v>23</v>
      </c>
      <c r="AI93" s="65"/>
    </row>
    <row r="94" spans="2:35" ht="26.85" customHeight="1" x14ac:dyDescent="0.25">
      <c r="B94" s="345" t="s">
        <v>113</v>
      </c>
      <c r="C94" s="344"/>
      <c r="D94" s="180" t="s">
        <v>25</v>
      </c>
      <c r="E94" s="286"/>
      <c r="F94" s="750" t="s">
        <v>23</v>
      </c>
      <c r="G94" s="750" t="s">
        <v>23</v>
      </c>
      <c r="H94" s="750" t="s">
        <v>23</v>
      </c>
      <c r="I94" s="456" t="str">
        <f>H94</f>
        <v>-</v>
      </c>
      <c r="J94" s="721" t="s">
        <v>23</v>
      </c>
      <c r="K94" s="721" t="s">
        <v>23</v>
      </c>
      <c r="L94" s="699">
        <v>2</v>
      </c>
      <c r="M94" s="699">
        <f>L94</f>
        <v>2</v>
      </c>
      <c r="N94" s="372" t="s">
        <v>23</v>
      </c>
      <c r="O94" s="372" t="s">
        <v>23</v>
      </c>
      <c r="P94" s="372" t="s">
        <v>23</v>
      </c>
      <c r="Q94" s="372" t="s">
        <v>23</v>
      </c>
      <c r="R94" s="372" t="s">
        <v>23</v>
      </c>
      <c r="S94" s="372" t="s">
        <v>23</v>
      </c>
      <c r="T94" s="372" t="s">
        <v>23</v>
      </c>
      <c r="U94" s="372" t="s">
        <v>23</v>
      </c>
      <c r="V94" s="372" t="s">
        <v>23</v>
      </c>
      <c r="W94" s="372" t="s">
        <v>23</v>
      </c>
      <c r="X94" s="372" t="s">
        <v>23</v>
      </c>
      <c r="Y94" s="372" t="s">
        <v>23</v>
      </c>
      <c r="Z94" s="372" t="s">
        <v>23</v>
      </c>
      <c r="AA94" s="372" t="s">
        <v>23</v>
      </c>
      <c r="AB94" s="372" t="s">
        <v>23</v>
      </c>
      <c r="AC94" s="372" t="s">
        <v>23</v>
      </c>
      <c r="AD94" s="372" t="s">
        <v>23</v>
      </c>
      <c r="AE94" s="372" t="s">
        <v>23</v>
      </c>
      <c r="AF94" s="372" t="s">
        <v>23</v>
      </c>
      <c r="AG94" s="372" t="s">
        <v>23</v>
      </c>
      <c r="AH94" s="372" t="s">
        <v>23</v>
      </c>
      <c r="AI94" s="65"/>
    </row>
    <row r="95" spans="2:35" ht="26.85" customHeight="1" x14ac:dyDescent="0.25">
      <c r="B95" s="345" t="s">
        <v>102</v>
      </c>
      <c r="C95" s="347"/>
      <c r="D95" s="286" t="s">
        <v>25</v>
      </c>
      <c r="E95" s="286"/>
      <c r="F95" s="456">
        <f>SUM(F88:F93)</f>
        <v>143</v>
      </c>
      <c r="G95" s="456">
        <f>SUM(G88:G93)</f>
        <v>373</v>
      </c>
      <c r="H95" s="456" t="str">
        <f>H94</f>
        <v>-</v>
      </c>
      <c r="I95" s="456">
        <f>SUM(I88:I94)</f>
        <v>516</v>
      </c>
      <c r="J95" s="699">
        <f>SUM(J88:J93)</f>
        <v>143</v>
      </c>
      <c r="K95" s="699">
        <f>SUM(K88:K93)</f>
        <v>523</v>
      </c>
      <c r="L95" s="699">
        <f>L94</f>
        <v>2</v>
      </c>
      <c r="M95" s="699">
        <f>SUM(M88:M94)</f>
        <v>668</v>
      </c>
      <c r="N95" s="372" t="s">
        <v>23</v>
      </c>
      <c r="O95" s="372" t="s">
        <v>23</v>
      </c>
      <c r="P95" s="372" t="s">
        <v>23</v>
      </c>
      <c r="Q95" s="372" t="s">
        <v>23</v>
      </c>
      <c r="R95" s="372" t="s">
        <v>23</v>
      </c>
      <c r="S95" s="372" t="s">
        <v>23</v>
      </c>
      <c r="T95" s="372" t="s">
        <v>23</v>
      </c>
      <c r="U95" s="372" t="s">
        <v>23</v>
      </c>
      <c r="V95" s="372" t="s">
        <v>23</v>
      </c>
      <c r="W95" s="372" t="s">
        <v>23</v>
      </c>
      <c r="X95" s="372" t="s">
        <v>23</v>
      </c>
      <c r="Y95" s="372" t="s">
        <v>23</v>
      </c>
      <c r="Z95" s="372" t="s">
        <v>23</v>
      </c>
      <c r="AA95" s="372" t="s">
        <v>23</v>
      </c>
      <c r="AB95" s="372" t="s">
        <v>23</v>
      </c>
      <c r="AC95" s="372" t="s">
        <v>23</v>
      </c>
      <c r="AD95" s="372" t="s">
        <v>23</v>
      </c>
      <c r="AE95" s="372" t="s">
        <v>23</v>
      </c>
      <c r="AF95" s="372" t="s">
        <v>23</v>
      </c>
      <c r="AG95" s="372" t="s">
        <v>23</v>
      </c>
      <c r="AH95" s="372" t="s">
        <v>23</v>
      </c>
      <c r="AI95" s="65"/>
    </row>
    <row r="96" spans="2:35" ht="50.1" customHeight="1" x14ac:dyDescent="0.2">
      <c r="B96" s="193"/>
      <c r="C96" s="180"/>
      <c r="D96" s="180"/>
      <c r="E96" s="180"/>
      <c r="F96" s="765"/>
      <c r="G96" s="765"/>
      <c r="H96" s="765"/>
      <c r="I96" s="765"/>
      <c r="J96" s="653"/>
      <c r="K96" s="653"/>
      <c r="L96" s="653"/>
      <c r="M96" s="653"/>
      <c r="N96" s="218"/>
      <c r="O96" s="218"/>
      <c r="P96" s="219"/>
      <c r="Q96" s="187"/>
      <c r="R96" s="187"/>
      <c r="S96" s="187"/>
      <c r="T96" s="204"/>
      <c r="U96" s="204"/>
      <c r="V96" s="204"/>
      <c r="W96" s="204"/>
      <c r="X96" s="204"/>
      <c r="Y96" s="204"/>
      <c r="Z96" s="204"/>
      <c r="AA96" s="204"/>
      <c r="AB96" s="204"/>
      <c r="AC96" s="204"/>
      <c r="AD96" s="204"/>
      <c r="AE96" s="204"/>
      <c r="AF96" s="204"/>
      <c r="AG96" s="204"/>
      <c r="AH96" s="204"/>
      <c r="AI96" s="65"/>
    </row>
    <row r="97" spans="2:35" ht="26.85" customHeight="1" x14ac:dyDescent="0.2">
      <c r="B97" s="6" t="s">
        <v>147</v>
      </c>
      <c r="C97" s="6"/>
      <c r="D97" s="7" t="s">
        <v>9</v>
      </c>
      <c r="E97" s="7"/>
      <c r="F97" s="930" t="s">
        <v>10</v>
      </c>
      <c r="G97" s="930"/>
      <c r="H97" s="930"/>
      <c r="I97" s="930"/>
      <c r="J97" s="930" t="s">
        <v>11</v>
      </c>
      <c r="K97" s="930"/>
      <c r="L97" s="930"/>
      <c r="M97" s="930"/>
      <c r="N97" s="920" t="s">
        <v>12</v>
      </c>
      <c r="O97" s="920"/>
      <c r="P97" s="920"/>
      <c r="Q97" s="920" t="s">
        <v>13</v>
      </c>
      <c r="R97" s="920"/>
      <c r="S97" s="920"/>
      <c r="T97" s="920" t="s">
        <v>14</v>
      </c>
      <c r="U97" s="920"/>
      <c r="V97" s="920"/>
      <c r="W97" s="920" t="s">
        <v>15</v>
      </c>
      <c r="X97" s="920"/>
      <c r="Y97" s="920"/>
      <c r="Z97" s="920" t="s">
        <v>16</v>
      </c>
      <c r="AA97" s="920"/>
      <c r="AB97" s="920"/>
      <c r="AC97" s="920" t="s">
        <v>17</v>
      </c>
      <c r="AD97" s="920"/>
      <c r="AE97" s="920"/>
      <c r="AF97" s="920" t="s">
        <v>18</v>
      </c>
      <c r="AG97" s="920"/>
      <c r="AH97" s="920"/>
      <c r="AI97" s="65"/>
    </row>
    <row r="98" spans="2:35" ht="26.85" customHeight="1" x14ac:dyDescent="0.25">
      <c r="B98" s="231" t="s">
        <v>139</v>
      </c>
      <c r="C98" s="198"/>
      <c r="D98" s="198"/>
      <c r="E98" s="198"/>
      <c r="F98" s="182" t="s">
        <v>99</v>
      </c>
      <c r="G98" s="182" t="s">
        <v>100</v>
      </c>
      <c r="H98" s="532" t="s">
        <v>101</v>
      </c>
      <c r="I98" s="182" t="s">
        <v>102</v>
      </c>
      <c r="J98" s="452" t="s">
        <v>99</v>
      </c>
      <c r="K98" s="452" t="s">
        <v>100</v>
      </c>
      <c r="L98" s="690" t="s">
        <v>101</v>
      </c>
      <c r="M98" s="452" t="s">
        <v>102</v>
      </c>
      <c r="N98" s="956"/>
      <c r="O98" s="956"/>
      <c r="P98" s="956"/>
      <c r="Q98" s="956"/>
      <c r="R98" s="956"/>
      <c r="S98" s="956"/>
      <c r="T98" s="956"/>
      <c r="U98" s="956"/>
      <c r="V98" s="956"/>
      <c r="W98" s="956"/>
      <c r="X98" s="956"/>
      <c r="Y98" s="956"/>
      <c r="Z98" s="956"/>
      <c r="AA98" s="956"/>
      <c r="AB98" s="956"/>
      <c r="AC98" s="956"/>
      <c r="AD98" s="956"/>
      <c r="AE98" s="956"/>
      <c r="AF98" s="956"/>
      <c r="AG98" s="956"/>
      <c r="AH98" s="956"/>
      <c r="AI98" s="65"/>
    </row>
    <row r="99" spans="2:35" ht="26.85" customHeight="1" x14ac:dyDescent="0.25">
      <c r="B99" s="345" t="s">
        <v>108</v>
      </c>
      <c r="C99" s="344"/>
      <c r="D99" s="286" t="s">
        <v>25</v>
      </c>
      <c r="E99" s="286"/>
      <c r="F99" s="750" t="s">
        <v>23</v>
      </c>
      <c r="G99" s="751">
        <v>3</v>
      </c>
      <c r="H99" s="750" t="s">
        <v>23</v>
      </c>
      <c r="I99" s="456">
        <f>SUM(F99:G99)</f>
        <v>3</v>
      </c>
      <c r="J99" s="721" t="s">
        <v>23</v>
      </c>
      <c r="K99" s="720">
        <v>1</v>
      </c>
      <c r="L99" s="721" t="s">
        <v>23</v>
      </c>
      <c r="M99" s="699">
        <f>SUM(J99:K99)</f>
        <v>1</v>
      </c>
      <c r="N99" s="918" t="s">
        <v>23</v>
      </c>
      <c r="O99" s="918"/>
      <c r="P99" s="918"/>
      <c r="Q99" s="918" t="s">
        <v>23</v>
      </c>
      <c r="R99" s="918"/>
      <c r="S99" s="918"/>
      <c r="T99" s="918" t="s">
        <v>23</v>
      </c>
      <c r="U99" s="918"/>
      <c r="V99" s="918"/>
      <c r="W99" s="918" t="s">
        <v>23</v>
      </c>
      <c r="X99" s="918"/>
      <c r="Y99" s="918"/>
      <c r="Z99" s="918" t="s">
        <v>23</v>
      </c>
      <c r="AA99" s="918"/>
      <c r="AB99" s="918"/>
      <c r="AC99" s="918" t="s">
        <v>23</v>
      </c>
      <c r="AD99" s="918"/>
      <c r="AE99" s="918"/>
      <c r="AF99" s="918" t="s">
        <v>23</v>
      </c>
      <c r="AG99" s="918"/>
      <c r="AH99" s="918"/>
      <c r="AI99" s="65"/>
    </row>
    <row r="100" spans="2:35" ht="26.85" customHeight="1" x14ac:dyDescent="0.25">
      <c r="B100" s="345" t="s">
        <v>109</v>
      </c>
      <c r="C100" s="344"/>
      <c r="D100" s="286" t="s">
        <v>25</v>
      </c>
      <c r="E100" s="286"/>
      <c r="F100" s="751">
        <v>9</v>
      </c>
      <c r="G100" s="751">
        <v>13</v>
      </c>
      <c r="H100" s="750" t="s">
        <v>23</v>
      </c>
      <c r="I100" s="456">
        <f t="shared" ref="I100:I101" si="28">SUM(F100:G100)</f>
        <v>22</v>
      </c>
      <c r="J100" s="720">
        <v>4</v>
      </c>
      <c r="K100" s="720">
        <v>12</v>
      </c>
      <c r="L100" s="721" t="s">
        <v>23</v>
      </c>
      <c r="M100" s="699">
        <f t="shared" ref="M100:M101" si="29">SUM(J100:K100)</f>
        <v>16</v>
      </c>
      <c r="N100" s="918" t="s">
        <v>23</v>
      </c>
      <c r="O100" s="918"/>
      <c r="P100" s="918"/>
      <c r="Q100" s="918" t="s">
        <v>23</v>
      </c>
      <c r="R100" s="918"/>
      <c r="S100" s="918"/>
      <c r="T100" s="918" t="s">
        <v>23</v>
      </c>
      <c r="U100" s="918"/>
      <c r="V100" s="918"/>
      <c r="W100" s="918" t="s">
        <v>23</v>
      </c>
      <c r="X100" s="918"/>
      <c r="Y100" s="918"/>
      <c r="Z100" s="918" t="s">
        <v>23</v>
      </c>
      <c r="AA100" s="918"/>
      <c r="AB100" s="918"/>
      <c r="AC100" s="918" t="s">
        <v>23</v>
      </c>
      <c r="AD100" s="918"/>
      <c r="AE100" s="918"/>
      <c r="AF100" s="918" t="s">
        <v>23</v>
      </c>
      <c r="AG100" s="918"/>
      <c r="AH100" s="918"/>
      <c r="AI100" s="65"/>
    </row>
    <row r="101" spans="2:35" ht="26.85" customHeight="1" x14ac:dyDescent="0.25">
      <c r="B101" s="345" t="s">
        <v>110</v>
      </c>
      <c r="C101" s="344"/>
      <c r="D101" s="286" t="s">
        <v>25</v>
      </c>
      <c r="E101" s="286"/>
      <c r="F101" s="750" t="s">
        <v>23</v>
      </c>
      <c r="G101" s="750" t="s">
        <v>23</v>
      </c>
      <c r="H101" s="750" t="s">
        <v>23</v>
      </c>
      <c r="I101" s="456">
        <f t="shared" si="28"/>
        <v>0</v>
      </c>
      <c r="J101" s="721" t="s">
        <v>23</v>
      </c>
      <c r="K101" s="720">
        <v>1</v>
      </c>
      <c r="L101" s="721" t="s">
        <v>23</v>
      </c>
      <c r="M101" s="699">
        <f t="shared" si="29"/>
        <v>1</v>
      </c>
      <c r="N101" s="918" t="s">
        <v>23</v>
      </c>
      <c r="O101" s="918"/>
      <c r="P101" s="918"/>
      <c r="Q101" s="918" t="s">
        <v>23</v>
      </c>
      <c r="R101" s="918"/>
      <c r="S101" s="918"/>
      <c r="T101" s="918" t="s">
        <v>23</v>
      </c>
      <c r="U101" s="918"/>
      <c r="V101" s="918"/>
      <c r="W101" s="918" t="s">
        <v>23</v>
      </c>
      <c r="X101" s="918"/>
      <c r="Y101" s="918"/>
      <c r="Z101" s="918" t="s">
        <v>23</v>
      </c>
      <c r="AA101" s="918"/>
      <c r="AB101" s="918"/>
      <c r="AC101" s="918" t="s">
        <v>23</v>
      </c>
      <c r="AD101" s="918"/>
      <c r="AE101" s="918"/>
      <c r="AF101" s="918" t="s">
        <v>23</v>
      </c>
      <c r="AG101" s="918"/>
      <c r="AH101" s="918"/>
      <c r="AI101" s="65"/>
    </row>
    <row r="102" spans="2:35" ht="26.85" customHeight="1" x14ac:dyDescent="0.25">
      <c r="B102" s="345" t="s">
        <v>113</v>
      </c>
      <c r="C102" s="344"/>
      <c r="D102" s="180" t="s">
        <v>25</v>
      </c>
      <c r="E102" s="180"/>
      <c r="F102" s="750" t="s">
        <v>23</v>
      </c>
      <c r="G102" s="750" t="s">
        <v>23</v>
      </c>
      <c r="H102" s="750" t="s">
        <v>23</v>
      </c>
      <c r="I102" s="456" t="str">
        <f>H102</f>
        <v>-</v>
      </c>
      <c r="J102" s="721" t="s">
        <v>23</v>
      </c>
      <c r="K102" s="721" t="s">
        <v>23</v>
      </c>
      <c r="L102" s="721" t="s">
        <v>23</v>
      </c>
      <c r="M102" s="699" t="str">
        <f>L102</f>
        <v>-</v>
      </c>
      <c r="N102" s="918" t="s">
        <v>23</v>
      </c>
      <c r="O102" s="918"/>
      <c r="P102" s="918"/>
      <c r="Q102" s="918" t="s">
        <v>23</v>
      </c>
      <c r="R102" s="918"/>
      <c r="S102" s="918"/>
      <c r="T102" s="918" t="s">
        <v>23</v>
      </c>
      <c r="U102" s="918"/>
      <c r="V102" s="918"/>
      <c r="W102" s="918" t="s">
        <v>23</v>
      </c>
      <c r="X102" s="918"/>
      <c r="Y102" s="918"/>
      <c r="Z102" s="918" t="s">
        <v>23</v>
      </c>
      <c r="AA102" s="918"/>
      <c r="AB102" s="918"/>
      <c r="AC102" s="918" t="s">
        <v>23</v>
      </c>
      <c r="AD102" s="918"/>
      <c r="AE102" s="918"/>
      <c r="AF102" s="918" t="s">
        <v>23</v>
      </c>
      <c r="AG102" s="918"/>
      <c r="AH102" s="918"/>
      <c r="AI102" s="65"/>
    </row>
    <row r="103" spans="2:35" ht="26.85" customHeight="1" x14ac:dyDescent="0.25">
      <c r="B103" s="345" t="s">
        <v>102</v>
      </c>
      <c r="C103" s="347"/>
      <c r="D103" s="286" t="s">
        <v>25</v>
      </c>
      <c r="E103" s="286"/>
      <c r="F103" s="753">
        <f t="shared" ref="F103:I103" si="30">SUM(F99:F102)</f>
        <v>9</v>
      </c>
      <c r="G103" s="456">
        <f t="shared" si="30"/>
        <v>16</v>
      </c>
      <c r="H103" s="456">
        <f t="shared" si="30"/>
        <v>0</v>
      </c>
      <c r="I103" s="456">
        <f t="shared" si="30"/>
        <v>25</v>
      </c>
      <c r="J103" s="728">
        <f t="shared" ref="J103:M103" si="31">SUM(J99:J102)</f>
        <v>4</v>
      </c>
      <c r="K103" s="699">
        <f t="shared" si="31"/>
        <v>14</v>
      </c>
      <c r="L103" s="699">
        <f t="shared" si="31"/>
        <v>0</v>
      </c>
      <c r="M103" s="699">
        <f t="shared" si="31"/>
        <v>18</v>
      </c>
      <c r="N103" s="918" t="s">
        <v>23</v>
      </c>
      <c r="O103" s="918"/>
      <c r="P103" s="918"/>
      <c r="Q103" s="918" t="s">
        <v>23</v>
      </c>
      <c r="R103" s="918"/>
      <c r="S103" s="918"/>
      <c r="T103" s="918" t="s">
        <v>23</v>
      </c>
      <c r="U103" s="918"/>
      <c r="V103" s="918"/>
      <c r="W103" s="918" t="s">
        <v>23</v>
      </c>
      <c r="X103" s="918"/>
      <c r="Y103" s="918"/>
      <c r="Z103" s="918" t="s">
        <v>23</v>
      </c>
      <c r="AA103" s="918"/>
      <c r="AB103" s="918"/>
      <c r="AC103" s="918" t="s">
        <v>23</v>
      </c>
      <c r="AD103" s="918"/>
      <c r="AE103" s="918"/>
      <c r="AF103" s="918" t="s">
        <v>23</v>
      </c>
      <c r="AG103" s="918"/>
      <c r="AH103" s="918"/>
      <c r="AI103" s="65"/>
    </row>
    <row r="104" spans="2:35" ht="26.85" customHeight="1" x14ac:dyDescent="0.25">
      <c r="B104" s="231" t="s">
        <v>140</v>
      </c>
      <c r="C104" s="198"/>
      <c r="D104" s="286"/>
      <c r="E104" s="286"/>
      <c r="F104" s="753"/>
      <c r="G104" s="456"/>
      <c r="H104" s="456"/>
      <c r="I104" s="456"/>
      <c r="J104" s="728"/>
      <c r="K104" s="699"/>
      <c r="L104" s="699"/>
      <c r="M104" s="699"/>
      <c r="N104" s="918"/>
      <c r="O104" s="918"/>
      <c r="P104" s="918"/>
      <c r="Q104" s="918"/>
      <c r="R104" s="918"/>
      <c r="S104" s="918"/>
      <c r="T104" s="918"/>
      <c r="U104" s="918"/>
      <c r="V104" s="918"/>
      <c r="W104" s="918"/>
      <c r="X104" s="918"/>
      <c r="Y104" s="918"/>
      <c r="Z104" s="918"/>
      <c r="AA104" s="918"/>
      <c r="AB104" s="918"/>
      <c r="AC104" s="918"/>
      <c r="AD104" s="918"/>
      <c r="AE104" s="918"/>
      <c r="AF104" s="918"/>
      <c r="AG104" s="918"/>
      <c r="AH104" s="918"/>
      <c r="AI104" s="65"/>
    </row>
    <row r="105" spans="2:35" ht="26.85" customHeight="1" x14ac:dyDescent="0.25">
      <c r="B105" s="345" t="s">
        <v>141</v>
      </c>
      <c r="C105" s="344"/>
      <c r="D105" s="286" t="s">
        <v>25</v>
      </c>
      <c r="E105" s="286"/>
      <c r="F105" s="750" t="s">
        <v>23</v>
      </c>
      <c r="G105" s="750" t="s">
        <v>23</v>
      </c>
      <c r="H105" s="750" t="s">
        <v>23</v>
      </c>
      <c r="I105" s="456">
        <f>SUM(F105:G105)</f>
        <v>0</v>
      </c>
      <c r="J105" s="721" t="s">
        <v>23</v>
      </c>
      <c r="K105" s="721" t="s">
        <v>23</v>
      </c>
      <c r="L105" s="721" t="s">
        <v>23</v>
      </c>
      <c r="M105" s="699">
        <f>SUM(J105:K105)</f>
        <v>0</v>
      </c>
      <c r="N105" s="918" t="s">
        <v>23</v>
      </c>
      <c r="O105" s="918"/>
      <c r="P105" s="918"/>
      <c r="Q105" s="918" t="s">
        <v>23</v>
      </c>
      <c r="R105" s="918"/>
      <c r="S105" s="918"/>
      <c r="T105" s="918" t="s">
        <v>23</v>
      </c>
      <c r="U105" s="918"/>
      <c r="V105" s="918"/>
      <c r="W105" s="918" t="s">
        <v>23</v>
      </c>
      <c r="X105" s="918"/>
      <c r="Y105" s="918"/>
      <c r="Z105" s="918" t="s">
        <v>23</v>
      </c>
      <c r="AA105" s="918"/>
      <c r="AB105" s="918"/>
      <c r="AC105" s="918" t="s">
        <v>23</v>
      </c>
      <c r="AD105" s="918"/>
      <c r="AE105" s="918"/>
      <c r="AF105" s="918" t="s">
        <v>23</v>
      </c>
      <c r="AG105" s="918"/>
      <c r="AH105" s="918"/>
      <c r="AI105" s="65"/>
    </row>
    <row r="106" spans="2:35" ht="26.85" customHeight="1" x14ac:dyDescent="0.25">
      <c r="B106" s="345" t="s">
        <v>142</v>
      </c>
      <c r="C106" s="344"/>
      <c r="D106" s="286" t="s">
        <v>25</v>
      </c>
      <c r="E106" s="286"/>
      <c r="F106" s="751">
        <v>1</v>
      </c>
      <c r="G106" s="750" t="s">
        <v>23</v>
      </c>
      <c r="H106" s="750" t="s">
        <v>23</v>
      </c>
      <c r="I106" s="456">
        <f t="shared" ref="I106:I112" si="32">SUM(F106:G106)</f>
        <v>1</v>
      </c>
      <c r="J106" s="721" t="s">
        <v>23</v>
      </c>
      <c r="K106" s="720">
        <v>1</v>
      </c>
      <c r="L106" s="721" t="s">
        <v>23</v>
      </c>
      <c r="M106" s="699">
        <f t="shared" ref="M106:M112" si="33">SUM(J106:K106)</f>
        <v>1</v>
      </c>
      <c r="N106" s="918" t="s">
        <v>23</v>
      </c>
      <c r="O106" s="918"/>
      <c r="P106" s="918"/>
      <c r="Q106" s="918" t="s">
        <v>23</v>
      </c>
      <c r="R106" s="918"/>
      <c r="S106" s="918"/>
      <c r="T106" s="918" t="s">
        <v>23</v>
      </c>
      <c r="U106" s="918"/>
      <c r="V106" s="918"/>
      <c r="W106" s="918" t="s">
        <v>23</v>
      </c>
      <c r="X106" s="918"/>
      <c r="Y106" s="918"/>
      <c r="Z106" s="918" t="s">
        <v>23</v>
      </c>
      <c r="AA106" s="918"/>
      <c r="AB106" s="918"/>
      <c r="AC106" s="918" t="s">
        <v>23</v>
      </c>
      <c r="AD106" s="918"/>
      <c r="AE106" s="918"/>
      <c r="AF106" s="918" t="s">
        <v>23</v>
      </c>
      <c r="AG106" s="918"/>
      <c r="AH106" s="918"/>
      <c r="AI106" s="65"/>
    </row>
    <row r="107" spans="2:35" ht="26.85" customHeight="1" x14ac:dyDescent="0.25">
      <c r="B107" s="345" t="s">
        <v>143</v>
      </c>
      <c r="C107" s="344"/>
      <c r="D107" s="286" t="s">
        <v>25</v>
      </c>
      <c r="E107" s="286"/>
      <c r="F107" s="751">
        <v>5</v>
      </c>
      <c r="G107" s="751">
        <v>4</v>
      </c>
      <c r="H107" s="750" t="s">
        <v>23</v>
      </c>
      <c r="I107" s="456">
        <f t="shared" si="32"/>
        <v>9</v>
      </c>
      <c r="J107" s="721" t="s">
        <v>23</v>
      </c>
      <c r="K107" s="720">
        <v>3</v>
      </c>
      <c r="L107" s="721" t="s">
        <v>23</v>
      </c>
      <c r="M107" s="699">
        <f t="shared" si="33"/>
        <v>3</v>
      </c>
      <c r="N107" s="918" t="s">
        <v>23</v>
      </c>
      <c r="O107" s="918"/>
      <c r="P107" s="918"/>
      <c r="Q107" s="918" t="s">
        <v>23</v>
      </c>
      <c r="R107" s="918"/>
      <c r="S107" s="918"/>
      <c r="T107" s="918" t="s">
        <v>23</v>
      </c>
      <c r="U107" s="918"/>
      <c r="V107" s="918"/>
      <c r="W107" s="918" t="s">
        <v>23</v>
      </c>
      <c r="X107" s="918"/>
      <c r="Y107" s="918"/>
      <c r="Z107" s="918" t="s">
        <v>23</v>
      </c>
      <c r="AA107" s="918"/>
      <c r="AB107" s="918"/>
      <c r="AC107" s="918" t="s">
        <v>23</v>
      </c>
      <c r="AD107" s="918"/>
      <c r="AE107" s="918"/>
      <c r="AF107" s="918" t="s">
        <v>23</v>
      </c>
      <c r="AG107" s="918"/>
      <c r="AH107" s="918"/>
      <c r="AI107" s="65"/>
    </row>
    <row r="108" spans="2:35" ht="26.85" customHeight="1" x14ac:dyDescent="0.25">
      <c r="B108" s="345" t="s">
        <v>144</v>
      </c>
      <c r="C108" s="344"/>
      <c r="D108" s="286" t="s">
        <v>25</v>
      </c>
      <c r="E108" s="286"/>
      <c r="F108" s="751">
        <v>3</v>
      </c>
      <c r="G108" s="751">
        <v>4</v>
      </c>
      <c r="H108" s="750" t="s">
        <v>23</v>
      </c>
      <c r="I108" s="456">
        <f t="shared" si="32"/>
        <v>7</v>
      </c>
      <c r="J108" s="720">
        <v>1</v>
      </c>
      <c r="K108" s="720">
        <v>6</v>
      </c>
      <c r="L108" s="721" t="s">
        <v>23</v>
      </c>
      <c r="M108" s="699">
        <f t="shared" si="33"/>
        <v>7</v>
      </c>
      <c r="N108" s="918" t="s">
        <v>23</v>
      </c>
      <c r="O108" s="918"/>
      <c r="P108" s="918"/>
      <c r="Q108" s="918" t="s">
        <v>23</v>
      </c>
      <c r="R108" s="918"/>
      <c r="S108" s="918"/>
      <c r="T108" s="918" t="s">
        <v>23</v>
      </c>
      <c r="U108" s="918"/>
      <c r="V108" s="918"/>
      <c r="W108" s="918" t="s">
        <v>23</v>
      </c>
      <c r="X108" s="918"/>
      <c r="Y108" s="918"/>
      <c r="Z108" s="918" t="s">
        <v>23</v>
      </c>
      <c r="AA108" s="918"/>
      <c r="AB108" s="918"/>
      <c r="AC108" s="918" t="s">
        <v>23</v>
      </c>
      <c r="AD108" s="918"/>
      <c r="AE108" s="918"/>
      <c r="AF108" s="918" t="s">
        <v>23</v>
      </c>
      <c r="AG108" s="918"/>
      <c r="AH108" s="918"/>
      <c r="AI108" s="65"/>
    </row>
    <row r="109" spans="2:35" ht="26.85" customHeight="1" x14ac:dyDescent="0.25">
      <c r="B109" s="345" t="s">
        <v>145</v>
      </c>
      <c r="C109" s="344"/>
      <c r="D109" s="286" t="s">
        <v>25</v>
      </c>
      <c r="E109" s="286"/>
      <c r="F109" s="750" t="s">
        <v>23</v>
      </c>
      <c r="G109" s="751">
        <v>5</v>
      </c>
      <c r="H109" s="750" t="s">
        <v>23</v>
      </c>
      <c r="I109" s="456">
        <f t="shared" si="32"/>
        <v>5</v>
      </c>
      <c r="J109" s="720">
        <v>3</v>
      </c>
      <c r="K109" s="720">
        <v>2</v>
      </c>
      <c r="L109" s="721" t="s">
        <v>23</v>
      </c>
      <c r="M109" s="699">
        <f t="shared" si="33"/>
        <v>5</v>
      </c>
      <c r="N109" s="918" t="s">
        <v>23</v>
      </c>
      <c r="O109" s="918"/>
      <c r="P109" s="918"/>
      <c r="Q109" s="918" t="s">
        <v>23</v>
      </c>
      <c r="R109" s="918"/>
      <c r="S109" s="918"/>
      <c r="T109" s="918" t="s">
        <v>23</v>
      </c>
      <c r="U109" s="918"/>
      <c r="V109" s="918"/>
      <c r="W109" s="918" t="s">
        <v>23</v>
      </c>
      <c r="X109" s="918"/>
      <c r="Y109" s="918"/>
      <c r="Z109" s="918" t="s">
        <v>23</v>
      </c>
      <c r="AA109" s="918"/>
      <c r="AB109" s="918"/>
      <c r="AC109" s="918" t="s">
        <v>23</v>
      </c>
      <c r="AD109" s="918"/>
      <c r="AE109" s="918"/>
      <c r="AF109" s="918" t="s">
        <v>23</v>
      </c>
      <c r="AG109" s="918"/>
      <c r="AH109" s="918"/>
      <c r="AI109" s="65"/>
    </row>
    <row r="110" spans="2:35" ht="26.85" customHeight="1" x14ac:dyDescent="0.25">
      <c r="B110" s="345" t="s">
        <v>146</v>
      </c>
      <c r="C110" s="344"/>
      <c r="D110" s="286" t="s">
        <v>25</v>
      </c>
      <c r="E110" s="286"/>
      <c r="F110" s="750" t="s">
        <v>23</v>
      </c>
      <c r="G110" s="751">
        <v>3</v>
      </c>
      <c r="H110" s="750" t="s">
        <v>23</v>
      </c>
      <c r="I110" s="456">
        <f t="shared" si="32"/>
        <v>3</v>
      </c>
      <c r="J110" s="721" t="s">
        <v>23</v>
      </c>
      <c r="K110" s="720">
        <v>2</v>
      </c>
      <c r="L110" s="721" t="s">
        <v>23</v>
      </c>
      <c r="M110" s="699">
        <f t="shared" si="33"/>
        <v>2</v>
      </c>
      <c r="N110" s="918" t="s">
        <v>23</v>
      </c>
      <c r="O110" s="918"/>
      <c r="P110" s="918"/>
      <c r="Q110" s="918" t="s">
        <v>23</v>
      </c>
      <c r="R110" s="918"/>
      <c r="S110" s="918"/>
      <c r="T110" s="918" t="s">
        <v>23</v>
      </c>
      <c r="U110" s="918"/>
      <c r="V110" s="918"/>
      <c r="W110" s="918" t="s">
        <v>23</v>
      </c>
      <c r="X110" s="918"/>
      <c r="Y110" s="918"/>
      <c r="Z110" s="918" t="s">
        <v>23</v>
      </c>
      <c r="AA110" s="918"/>
      <c r="AB110" s="918"/>
      <c r="AC110" s="918" t="s">
        <v>23</v>
      </c>
      <c r="AD110" s="918"/>
      <c r="AE110" s="918"/>
      <c r="AF110" s="918" t="s">
        <v>23</v>
      </c>
      <c r="AG110" s="918"/>
      <c r="AH110" s="918"/>
      <c r="AI110" s="65"/>
    </row>
    <row r="111" spans="2:35" ht="26.85" customHeight="1" x14ac:dyDescent="0.25">
      <c r="B111" s="345" t="s">
        <v>113</v>
      </c>
      <c r="C111" s="344"/>
      <c r="D111" s="180" t="s">
        <v>25</v>
      </c>
      <c r="E111" s="286"/>
      <c r="F111" s="750" t="s">
        <v>23</v>
      </c>
      <c r="G111" s="750" t="s">
        <v>23</v>
      </c>
      <c r="H111" s="750" t="s">
        <v>23</v>
      </c>
      <c r="I111" s="750" t="s">
        <v>23</v>
      </c>
      <c r="J111" s="721" t="s">
        <v>23</v>
      </c>
      <c r="K111" s="721" t="s">
        <v>23</v>
      </c>
      <c r="L111" s="721" t="s">
        <v>23</v>
      </c>
      <c r="M111" s="721" t="s">
        <v>23</v>
      </c>
      <c r="N111" s="191"/>
      <c r="O111" s="191"/>
      <c r="P111" s="191" t="s">
        <v>23</v>
      </c>
      <c r="Q111" s="191"/>
      <c r="R111" s="191"/>
      <c r="S111" s="191" t="s">
        <v>23</v>
      </c>
      <c r="T111" s="191"/>
      <c r="U111" s="191"/>
      <c r="V111" s="191" t="s">
        <v>23</v>
      </c>
      <c r="W111" s="191"/>
      <c r="X111" s="191"/>
      <c r="Y111" s="191" t="s">
        <v>23</v>
      </c>
      <c r="Z111" s="191"/>
      <c r="AA111" s="191"/>
      <c r="AB111" s="191" t="s">
        <v>23</v>
      </c>
      <c r="AC111" s="191"/>
      <c r="AD111" s="191"/>
      <c r="AE111" s="191" t="s">
        <v>23</v>
      </c>
      <c r="AF111" s="191"/>
      <c r="AG111" s="191"/>
      <c r="AH111" s="191" t="s">
        <v>23</v>
      </c>
      <c r="AI111" s="65"/>
    </row>
    <row r="112" spans="2:35" ht="26.85" customHeight="1" x14ac:dyDescent="0.25">
      <c r="B112" s="345" t="s">
        <v>102</v>
      </c>
      <c r="C112" s="347"/>
      <c r="D112" s="286" t="s">
        <v>25</v>
      </c>
      <c r="E112" s="286"/>
      <c r="F112" s="760">
        <f>SUM(F105:F110)</f>
        <v>9</v>
      </c>
      <c r="G112" s="760">
        <f>SUM(G105:G110)</f>
        <v>16</v>
      </c>
      <c r="H112" s="760">
        <f>SUM(H105:H110)</f>
        <v>0</v>
      </c>
      <c r="I112" s="456">
        <f t="shared" si="32"/>
        <v>25</v>
      </c>
      <c r="J112" s="723">
        <f>SUM(J105:J110)</f>
        <v>4</v>
      </c>
      <c r="K112" s="723">
        <f>SUM(K105:K110)</f>
        <v>14</v>
      </c>
      <c r="L112" s="723">
        <f>SUM(L105:L110)</f>
        <v>0</v>
      </c>
      <c r="M112" s="699">
        <f t="shared" si="33"/>
        <v>18</v>
      </c>
      <c r="N112" s="918">
        <v>7</v>
      </c>
      <c r="O112" s="918"/>
      <c r="P112" s="918"/>
      <c r="Q112" s="918">
        <v>10</v>
      </c>
      <c r="R112" s="918"/>
      <c r="S112" s="918"/>
      <c r="T112" s="918">
        <v>187</v>
      </c>
      <c r="U112" s="918"/>
      <c r="V112" s="918"/>
      <c r="W112" s="918">
        <v>449</v>
      </c>
      <c r="X112" s="918"/>
      <c r="Y112" s="918"/>
      <c r="Z112" s="918">
        <v>209</v>
      </c>
      <c r="AA112" s="918"/>
      <c r="AB112" s="918"/>
      <c r="AC112" s="918">
        <v>282</v>
      </c>
      <c r="AD112" s="918"/>
      <c r="AE112" s="918"/>
      <c r="AF112" s="918">
        <v>239</v>
      </c>
      <c r="AG112" s="918"/>
      <c r="AH112" s="918"/>
      <c r="AI112" s="65"/>
    </row>
    <row r="113" spans="2:35" ht="50.1" customHeight="1" x14ac:dyDescent="0.2">
      <c r="B113" s="193"/>
      <c r="C113" s="180"/>
      <c r="D113" s="180"/>
      <c r="E113" s="180"/>
      <c r="F113" s="262"/>
      <c r="G113" s="262"/>
      <c r="H113" s="262"/>
      <c r="I113" s="262"/>
      <c r="J113" s="653"/>
      <c r="K113" s="653"/>
      <c r="L113" s="653"/>
      <c r="M113" s="653"/>
      <c r="N113" s="218"/>
      <c r="O113" s="218"/>
      <c r="P113" s="219"/>
      <c r="Q113" s="187"/>
      <c r="R113" s="187"/>
      <c r="S113" s="187"/>
      <c r="T113" s="204"/>
      <c r="U113" s="204"/>
      <c r="V113" s="204"/>
      <c r="W113" s="204"/>
      <c r="X113" s="204"/>
      <c r="Y113" s="204"/>
      <c r="Z113" s="204"/>
      <c r="AA113" s="204"/>
      <c r="AB113" s="204"/>
      <c r="AC113" s="204"/>
      <c r="AD113" s="204"/>
      <c r="AE113" s="204"/>
      <c r="AF113" s="204"/>
      <c r="AG113" s="204"/>
      <c r="AH113" s="204"/>
      <c r="AI113" s="65"/>
    </row>
    <row r="114" spans="2:35" ht="26.85" customHeight="1" x14ac:dyDescent="0.35">
      <c r="B114" s="6" t="s">
        <v>205</v>
      </c>
      <c r="C114" s="305"/>
      <c r="D114" s="7" t="s">
        <v>9</v>
      </c>
      <c r="E114" s="7"/>
      <c r="F114" s="930" t="s">
        <v>10</v>
      </c>
      <c r="G114" s="930"/>
      <c r="H114" s="930"/>
      <c r="I114" s="930"/>
      <c r="J114" s="930" t="s">
        <v>11</v>
      </c>
      <c r="K114" s="930"/>
      <c r="L114" s="930"/>
      <c r="M114" s="930"/>
      <c r="N114" s="920" t="s">
        <v>12</v>
      </c>
      <c r="O114" s="920"/>
      <c r="P114" s="920"/>
      <c r="Q114" s="920" t="s">
        <v>13</v>
      </c>
      <c r="R114" s="920"/>
      <c r="S114" s="920"/>
      <c r="T114" s="920" t="s">
        <v>14</v>
      </c>
      <c r="U114" s="920"/>
      <c r="V114" s="920"/>
      <c r="W114" s="920" t="s">
        <v>15</v>
      </c>
      <c r="X114" s="920"/>
      <c r="Y114" s="920"/>
      <c r="Z114" s="920" t="s">
        <v>16</v>
      </c>
      <c r="AA114" s="920"/>
      <c r="AB114" s="920"/>
      <c r="AC114" s="920" t="s">
        <v>17</v>
      </c>
      <c r="AD114" s="920"/>
      <c r="AE114" s="920"/>
      <c r="AF114" s="920" t="s">
        <v>18</v>
      </c>
      <c r="AG114" s="920"/>
      <c r="AH114" s="920"/>
      <c r="AI114" s="65"/>
    </row>
    <row r="115" spans="2:35" ht="26.85" customHeight="1" x14ac:dyDescent="0.25">
      <c r="B115" s="231" t="s">
        <v>139</v>
      </c>
      <c r="C115" s="198"/>
      <c r="D115" s="198"/>
      <c r="E115" s="198"/>
      <c r="F115" s="182" t="s">
        <v>99</v>
      </c>
      <c r="G115" s="182" t="s">
        <v>100</v>
      </c>
      <c r="H115" s="532" t="s">
        <v>101</v>
      </c>
      <c r="I115" s="182" t="s">
        <v>102</v>
      </c>
      <c r="J115" s="452" t="s">
        <v>99</v>
      </c>
      <c r="K115" s="452" t="s">
        <v>100</v>
      </c>
      <c r="L115" s="690" t="s">
        <v>101</v>
      </c>
      <c r="M115" s="452" t="s">
        <v>102</v>
      </c>
      <c r="N115" s="956"/>
      <c r="O115" s="956"/>
      <c r="P115" s="956"/>
      <c r="Q115" s="956"/>
      <c r="R115" s="956"/>
      <c r="S115" s="956"/>
      <c r="T115" s="956"/>
      <c r="U115" s="956"/>
      <c r="V115" s="956"/>
      <c r="W115" s="956"/>
      <c r="X115" s="956"/>
      <c r="Y115" s="956"/>
      <c r="Z115" s="956"/>
      <c r="AA115" s="956"/>
      <c r="AB115" s="956"/>
      <c r="AC115" s="956"/>
      <c r="AD115" s="956"/>
      <c r="AE115" s="956"/>
      <c r="AF115" s="956"/>
      <c r="AG115" s="956"/>
      <c r="AH115" s="956"/>
      <c r="AI115" s="65"/>
    </row>
    <row r="116" spans="2:35" ht="26.85" customHeight="1" x14ac:dyDescent="0.25">
      <c r="B116" s="345" t="s">
        <v>108</v>
      </c>
      <c r="C116" s="344"/>
      <c r="D116" s="286" t="s">
        <v>25</v>
      </c>
      <c r="E116" s="286"/>
      <c r="F116" s="456">
        <v>9</v>
      </c>
      <c r="G116" s="456">
        <v>19</v>
      </c>
      <c r="H116" s="750" t="s">
        <v>23</v>
      </c>
      <c r="I116" s="456">
        <f>SUM(F116:G116)</f>
        <v>28</v>
      </c>
      <c r="J116" s="699">
        <v>1</v>
      </c>
      <c r="K116" s="699">
        <v>25</v>
      </c>
      <c r="L116" s="721" t="s">
        <v>23</v>
      </c>
      <c r="M116" s="699">
        <f>SUM(J116:K116)</f>
        <v>26</v>
      </c>
      <c r="N116" s="918" t="s">
        <v>23</v>
      </c>
      <c r="O116" s="918"/>
      <c r="P116" s="918"/>
      <c r="Q116" s="918" t="s">
        <v>23</v>
      </c>
      <c r="R116" s="918"/>
      <c r="S116" s="918"/>
      <c r="T116" s="918" t="s">
        <v>23</v>
      </c>
      <c r="U116" s="918"/>
      <c r="V116" s="918"/>
      <c r="W116" s="918" t="s">
        <v>23</v>
      </c>
      <c r="X116" s="918"/>
      <c r="Y116" s="918"/>
      <c r="Z116" s="918" t="s">
        <v>23</v>
      </c>
      <c r="AA116" s="918"/>
      <c r="AB116" s="918"/>
      <c r="AC116" s="918" t="s">
        <v>23</v>
      </c>
      <c r="AD116" s="918"/>
      <c r="AE116" s="918"/>
      <c r="AF116" s="918" t="s">
        <v>23</v>
      </c>
      <c r="AG116" s="918"/>
      <c r="AH116" s="918"/>
      <c r="AI116" s="65"/>
    </row>
    <row r="117" spans="2:35" ht="26.85" customHeight="1" x14ac:dyDescent="0.25">
      <c r="B117" s="345" t="s">
        <v>109</v>
      </c>
      <c r="C117" s="344"/>
      <c r="D117" s="286" t="s">
        <v>25</v>
      </c>
      <c r="E117" s="286"/>
      <c r="F117" s="456">
        <v>18</v>
      </c>
      <c r="G117" s="456">
        <v>48</v>
      </c>
      <c r="H117" s="750" t="s">
        <v>23</v>
      </c>
      <c r="I117" s="456">
        <f t="shared" ref="I117:I118" si="34">SUM(F117:G117)</f>
        <v>66</v>
      </c>
      <c r="J117" s="699">
        <v>20</v>
      </c>
      <c r="K117" s="699">
        <v>58</v>
      </c>
      <c r="L117" s="721" t="s">
        <v>23</v>
      </c>
      <c r="M117" s="699">
        <f t="shared" ref="M117:M118" si="35">SUM(J117:K117)</f>
        <v>78</v>
      </c>
      <c r="N117" s="918" t="s">
        <v>23</v>
      </c>
      <c r="O117" s="918"/>
      <c r="P117" s="918"/>
      <c r="Q117" s="918" t="s">
        <v>23</v>
      </c>
      <c r="R117" s="918"/>
      <c r="S117" s="918"/>
      <c r="T117" s="918" t="s">
        <v>23</v>
      </c>
      <c r="U117" s="918"/>
      <c r="V117" s="918"/>
      <c r="W117" s="918" t="s">
        <v>23</v>
      </c>
      <c r="X117" s="918"/>
      <c r="Y117" s="918"/>
      <c r="Z117" s="918" t="s">
        <v>23</v>
      </c>
      <c r="AA117" s="918"/>
      <c r="AB117" s="918"/>
      <c r="AC117" s="918" t="s">
        <v>23</v>
      </c>
      <c r="AD117" s="918"/>
      <c r="AE117" s="918"/>
      <c r="AF117" s="918" t="s">
        <v>23</v>
      </c>
      <c r="AG117" s="918"/>
      <c r="AH117" s="918"/>
      <c r="AI117" s="65"/>
    </row>
    <row r="118" spans="2:35" ht="26.85" customHeight="1" x14ac:dyDescent="0.25">
      <c r="B118" s="345" t="s">
        <v>110</v>
      </c>
      <c r="C118" s="344"/>
      <c r="D118" s="286" t="s">
        <v>25</v>
      </c>
      <c r="E118" s="286"/>
      <c r="F118" s="750" t="s">
        <v>23</v>
      </c>
      <c r="G118" s="750" t="s">
        <v>23</v>
      </c>
      <c r="H118" s="750" t="s">
        <v>23</v>
      </c>
      <c r="I118" s="456">
        <f t="shared" si="34"/>
        <v>0</v>
      </c>
      <c r="J118" s="721" t="s">
        <v>23</v>
      </c>
      <c r="K118" s="721" t="s">
        <v>23</v>
      </c>
      <c r="L118" s="721" t="s">
        <v>23</v>
      </c>
      <c r="M118" s="699">
        <f t="shared" si="35"/>
        <v>0</v>
      </c>
      <c r="N118" s="918" t="s">
        <v>23</v>
      </c>
      <c r="O118" s="918"/>
      <c r="P118" s="918"/>
      <c r="Q118" s="918" t="s">
        <v>23</v>
      </c>
      <c r="R118" s="918"/>
      <c r="S118" s="918"/>
      <c r="T118" s="918" t="s">
        <v>23</v>
      </c>
      <c r="U118" s="918"/>
      <c r="V118" s="918"/>
      <c r="W118" s="918" t="s">
        <v>23</v>
      </c>
      <c r="X118" s="918"/>
      <c r="Y118" s="918"/>
      <c r="Z118" s="918" t="s">
        <v>23</v>
      </c>
      <c r="AA118" s="918"/>
      <c r="AB118" s="918"/>
      <c r="AC118" s="918" t="s">
        <v>23</v>
      </c>
      <c r="AD118" s="918"/>
      <c r="AE118" s="918"/>
      <c r="AF118" s="918" t="s">
        <v>23</v>
      </c>
      <c r="AG118" s="918"/>
      <c r="AH118" s="918"/>
      <c r="AI118" s="65"/>
    </row>
    <row r="119" spans="2:35" ht="26.85" customHeight="1" x14ac:dyDescent="0.25">
      <c r="B119" s="345" t="s">
        <v>113</v>
      </c>
      <c r="C119" s="344"/>
      <c r="D119" s="180" t="s">
        <v>25</v>
      </c>
      <c r="E119" s="180"/>
      <c r="F119" s="750" t="s">
        <v>23</v>
      </c>
      <c r="G119" s="750" t="s">
        <v>23</v>
      </c>
      <c r="H119" s="751">
        <v>1</v>
      </c>
      <c r="I119" s="456">
        <f>H119</f>
        <v>1</v>
      </c>
      <c r="J119" s="721" t="s">
        <v>23</v>
      </c>
      <c r="K119" s="721" t="s">
        <v>23</v>
      </c>
      <c r="L119" s="720" t="s">
        <v>23</v>
      </c>
      <c r="M119" s="699" t="str">
        <f>L119</f>
        <v>-</v>
      </c>
      <c r="N119" s="918" t="s">
        <v>23</v>
      </c>
      <c r="O119" s="918"/>
      <c r="P119" s="918"/>
      <c r="Q119" s="918" t="s">
        <v>23</v>
      </c>
      <c r="R119" s="918"/>
      <c r="S119" s="918"/>
      <c r="T119" s="918" t="s">
        <v>23</v>
      </c>
      <c r="U119" s="918"/>
      <c r="V119" s="918"/>
      <c r="W119" s="918" t="s">
        <v>23</v>
      </c>
      <c r="X119" s="918"/>
      <c r="Y119" s="918"/>
      <c r="Z119" s="918" t="s">
        <v>23</v>
      </c>
      <c r="AA119" s="918"/>
      <c r="AB119" s="918"/>
      <c r="AC119" s="918" t="s">
        <v>23</v>
      </c>
      <c r="AD119" s="918"/>
      <c r="AE119" s="918"/>
      <c r="AF119" s="918" t="s">
        <v>23</v>
      </c>
      <c r="AG119" s="918"/>
      <c r="AH119" s="918"/>
      <c r="AI119" s="65"/>
    </row>
    <row r="120" spans="2:35" ht="26.85" customHeight="1" x14ac:dyDescent="0.25">
      <c r="B120" s="345" t="s">
        <v>102</v>
      </c>
      <c r="C120" s="347"/>
      <c r="D120" s="286" t="s">
        <v>25</v>
      </c>
      <c r="E120" s="286"/>
      <c r="F120" s="753">
        <f t="shared" ref="F120:I120" si="36">SUM(F116:F119)</f>
        <v>27</v>
      </c>
      <c r="G120" s="456">
        <f t="shared" si="36"/>
        <v>67</v>
      </c>
      <c r="H120" s="456">
        <f t="shared" si="36"/>
        <v>1</v>
      </c>
      <c r="I120" s="456">
        <f t="shared" si="36"/>
        <v>95</v>
      </c>
      <c r="J120" s="728">
        <f t="shared" ref="J120:M120" si="37">SUM(J116:J119)</f>
        <v>21</v>
      </c>
      <c r="K120" s="699">
        <f t="shared" si="37"/>
        <v>83</v>
      </c>
      <c r="L120" s="699">
        <f t="shared" si="37"/>
        <v>0</v>
      </c>
      <c r="M120" s="699">
        <f t="shared" si="37"/>
        <v>104</v>
      </c>
      <c r="N120" s="918" t="s">
        <v>23</v>
      </c>
      <c r="O120" s="918"/>
      <c r="P120" s="918"/>
      <c r="Q120" s="918" t="s">
        <v>23</v>
      </c>
      <c r="R120" s="918"/>
      <c r="S120" s="918"/>
      <c r="T120" s="918" t="s">
        <v>23</v>
      </c>
      <c r="U120" s="918"/>
      <c r="V120" s="918"/>
      <c r="W120" s="918" t="s">
        <v>23</v>
      </c>
      <c r="X120" s="918"/>
      <c r="Y120" s="918"/>
      <c r="Z120" s="918" t="s">
        <v>23</v>
      </c>
      <c r="AA120" s="918"/>
      <c r="AB120" s="918"/>
      <c r="AC120" s="918" t="s">
        <v>23</v>
      </c>
      <c r="AD120" s="918"/>
      <c r="AE120" s="918"/>
      <c r="AF120" s="918" t="s">
        <v>23</v>
      </c>
      <c r="AG120" s="918"/>
      <c r="AH120" s="918"/>
      <c r="AI120" s="65"/>
    </row>
    <row r="121" spans="2:35" ht="26.85" customHeight="1" x14ac:dyDescent="0.25">
      <c r="B121" s="231" t="s">
        <v>140</v>
      </c>
      <c r="C121" s="198"/>
      <c r="D121" s="286"/>
      <c r="E121" s="286"/>
      <c r="F121" s="753"/>
      <c r="G121" s="456"/>
      <c r="H121" s="456"/>
      <c r="I121" s="456"/>
      <c r="J121" s="728"/>
      <c r="K121" s="699"/>
      <c r="L121" s="699"/>
      <c r="M121" s="699"/>
      <c r="N121" s="918"/>
      <c r="O121" s="918"/>
      <c r="P121" s="918"/>
      <c r="Q121" s="918"/>
      <c r="R121" s="918"/>
      <c r="S121" s="918"/>
      <c r="T121" s="918"/>
      <c r="U121" s="918"/>
      <c r="V121" s="918"/>
      <c r="W121" s="918"/>
      <c r="X121" s="918"/>
      <c r="Y121" s="918"/>
      <c r="Z121" s="918"/>
      <c r="AA121" s="918"/>
      <c r="AB121" s="918"/>
      <c r="AC121" s="918"/>
      <c r="AD121" s="918"/>
      <c r="AE121" s="918"/>
      <c r="AF121" s="918"/>
      <c r="AG121" s="918"/>
      <c r="AH121" s="918"/>
      <c r="AI121" s="65"/>
    </row>
    <row r="122" spans="2:35" ht="26.85" customHeight="1" x14ac:dyDescent="0.25">
      <c r="B122" s="345" t="s">
        <v>141</v>
      </c>
      <c r="C122" s="344"/>
      <c r="D122" s="286" t="s">
        <v>25</v>
      </c>
      <c r="E122" s="286"/>
      <c r="F122" s="750" t="s">
        <v>23</v>
      </c>
      <c r="G122" s="750" t="s">
        <v>23</v>
      </c>
      <c r="H122" s="750" t="s">
        <v>23</v>
      </c>
      <c r="I122" s="456">
        <f>SUM(F122:G122)</f>
        <v>0</v>
      </c>
      <c r="J122" s="699">
        <v>1</v>
      </c>
      <c r="K122" s="720" t="s">
        <v>23</v>
      </c>
      <c r="L122" s="721" t="s">
        <v>23</v>
      </c>
      <c r="M122" s="699">
        <f>SUM(J122:K122)</f>
        <v>1</v>
      </c>
      <c r="N122" s="918" t="s">
        <v>23</v>
      </c>
      <c r="O122" s="918"/>
      <c r="P122" s="918"/>
      <c r="Q122" s="918" t="s">
        <v>23</v>
      </c>
      <c r="R122" s="918"/>
      <c r="S122" s="918"/>
      <c r="T122" s="918" t="s">
        <v>23</v>
      </c>
      <c r="U122" s="918"/>
      <c r="V122" s="918"/>
      <c r="W122" s="918" t="s">
        <v>23</v>
      </c>
      <c r="X122" s="918"/>
      <c r="Y122" s="918"/>
      <c r="Z122" s="918" t="s">
        <v>23</v>
      </c>
      <c r="AA122" s="918"/>
      <c r="AB122" s="918"/>
      <c r="AC122" s="918" t="s">
        <v>23</v>
      </c>
      <c r="AD122" s="918"/>
      <c r="AE122" s="918"/>
      <c r="AF122" s="918" t="s">
        <v>23</v>
      </c>
      <c r="AG122" s="918"/>
      <c r="AH122" s="918"/>
      <c r="AI122" s="65"/>
    </row>
    <row r="123" spans="2:35" ht="26.85" customHeight="1" x14ac:dyDescent="0.25">
      <c r="B123" s="345" t="s">
        <v>142</v>
      </c>
      <c r="C123" s="344"/>
      <c r="D123" s="286" t="s">
        <v>25</v>
      </c>
      <c r="E123" s="286"/>
      <c r="F123" s="456">
        <v>6</v>
      </c>
      <c r="G123" s="456">
        <v>9</v>
      </c>
      <c r="H123" s="750" t="s">
        <v>23</v>
      </c>
      <c r="I123" s="456">
        <f t="shared" ref="I123:I127" si="38">SUM(F123:G123)</f>
        <v>15</v>
      </c>
      <c r="J123" s="699">
        <v>4</v>
      </c>
      <c r="K123" s="699">
        <v>11</v>
      </c>
      <c r="L123" s="721" t="s">
        <v>23</v>
      </c>
      <c r="M123" s="699">
        <f t="shared" ref="M123:M127" si="39">SUM(J123:K123)</f>
        <v>15</v>
      </c>
      <c r="N123" s="918" t="s">
        <v>23</v>
      </c>
      <c r="O123" s="918"/>
      <c r="P123" s="918"/>
      <c r="Q123" s="918" t="s">
        <v>23</v>
      </c>
      <c r="R123" s="918"/>
      <c r="S123" s="918"/>
      <c r="T123" s="918" t="s">
        <v>23</v>
      </c>
      <c r="U123" s="918"/>
      <c r="V123" s="918"/>
      <c r="W123" s="918" t="s">
        <v>23</v>
      </c>
      <c r="X123" s="918"/>
      <c r="Y123" s="918"/>
      <c r="Z123" s="918" t="s">
        <v>23</v>
      </c>
      <c r="AA123" s="918"/>
      <c r="AB123" s="918"/>
      <c r="AC123" s="918" t="s">
        <v>23</v>
      </c>
      <c r="AD123" s="918"/>
      <c r="AE123" s="918"/>
      <c r="AF123" s="918" t="s">
        <v>23</v>
      </c>
      <c r="AG123" s="918"/>
      <c r="AH123" s="918"/>
      <c r="AI123" s="65"/>
    </row>
    <row r="124" spans="2:35" ht="26.85" customHeight="1" x14ac:dyDescent="0.25">
      <c r="B124" s="345" t="s">
        <v>143</v>
      </c>
      <c r="C124" s="344"/>
      <c r="D124" s="286" t="s">
        <v>25</v>
      </c>
      <c r="E124" s="286"/>
      <c r="F124" s="456">
        <v>4</v>
      </c>
      <c r="G124" s="751">
        <v>22</v>
      </c>
      <c r="H124" s="750" t="s">
        <v>23</v>
      </c>
      <c r="I124" s="456">
        <f t="shared" si="38"/>
        <v>26</v>
      </c>
      <c r="J124" s="699">
        <v>10</v>
      </c>
      <c r="K124" s="720">
        <v>26</v>
      </c>
      <c r="L124" s="721" t="s">
        <v>23</v>
      </c>
      <c r="M124" s="699">
        <f t="shared" si="39"/>
        <v>36</v>
      </c>
      <c r="N124" s="918" t="s">
        <v>23</v>
      </c>
      <c r="O124" s="918"/>
      <c r="P124" s="918"/>
      <c r="Q124" s="918" t="s">
        <v>23</v>
      </c>
      <c r="R124" s="918"/>
      <c r="S124" s="918"/>
      <c r="T124" s="918" t="s">
        <v>23</v>
      </c>
      <c r="U124" s="918"/>
      <c r="V124" s="918"/>
      <c r="W124" s="918" t="s">
        <v>23</v>
      </c>
      <c r="X124" s="918"/>
      <c r="Y124" s="918"/>
      <c r="Z124" s="918" t="s">
        <v>23</v>
      </c>
      <c r="AA124" s="918"/>
      <c r="AB124" s="918"/>
      <c r="AC124" s="918" t="s">
        <v>23</v>
      </c>
      <c r="AD124" s="918"/>
      <c r="AE124" s="918"/>
      <c r="AF124" s="918" t="s">
        <v>23</v>
      </c>
      <c r="AG124" s="918"/>
      <c r="AH124" s="918"/>
      <c r="AI124" s="65"/>
    </row>
    <row r="125" spans="2:35" ht="26.85" customHeight="1" x14ac:dyDescent="0.25">
      <c r="B125" s="345" t="s">
        <v>144</v>
      </c>
      <c r="C125" s="344"/>
      <c r="D125" s="286" t="s">
        <v>25</v>
      </c>
      <c r="E125" s="286"/>
      <c r="F125" s="456">
        <v>8</v>
      </c>
      <c r="G125" s="456">
        <v>13</v>
      </c>
      <c r="H125" s="750" t="s">
        <v>23</v>
      </c>
      <c r="I125" s="456">
        <f t="shared" si="38"/>
        <v>21</v>
      </c>
      <c r="J125" s="699">
        <v>3</v>
      </c>
      <c r="K125" s="699">
        <v>21</v>
      </c>
      <c r="L125" s="721" t="s">
        <v>23</v>
      </c>
      <c r="M125" s="699">
        <f t="shared" si="39"/>
        <v>24</v>
      </c>
      <c r="N125" s="918" t="s">
        <v>23</v>
      </c>
      <c r="O125" s="918"/>
      <c r="P125" s="918"/>
      <c r="Q125" s="918" t="s">
        <v>23</v>
      </c>
      <c r="R125" s="918"/>
      <c r="S125" s="918"/>
      <c r="T125" s="918" t="s">
        <v>23</v>
      </c>
      <c r="U125" s="918"/>
      <c r="V125" s="918"/>
      <c r="W125" s="918" t="s">
        <v>23</v>
      </c>
      <c r="X125" s="918"/>
      <c r="Y125" s="918"/>
      <c r="Z125" s="918" t="s">
        <v>23</v>
      </c>
      <c r="AA125" s="918"/>
      <c r="AB125" s="918"/>
      <c r="AC125" s="918" t="s">
        <v>23</v>
      </c>
      <c r="AD125" s="918"/>
      <c r="AE125" s="918"/>
      <c r="AF125" s="918" t="s">
        <v>23</v>
      </c>
      <c r="AG125" s="918"/>
      <c r="AH125" s="918"/>
      <c r="AI125" s="65"/>
    </row>
    <row r="126" spans="2:35" ht="26.85" customHeight="1" x14ac:dyDescent="0.25">
      <c r="B126" s="345" t="s">
        <v>145</v>
      </c>
      <c r="C126" s="344"/>
      <c r="D126" s="286" t="s">
        <v>25</v>
      </c>
      <c r="E126" s="286"/>
      <c r="F126" s="456">
        <v>5</v>
      </c>
      <c r="G126" s="456">
        <v>17</v>
      </c>
      <c r="H126" s="750" t="s">
        <v>23</v>
      </c>
      <c r="I126" s="456">
        <f t="shared" si="38"/>
        <v>22</v>
      </c>
      <c r="J126" s="699">
        <v>3</v>
      </c>
      <c r="K126" s="699">
        <v>21</v>
      </c>
      <c r="L126" s="721" t="s">
        <v>23</v>
      </c>
      <c r="M126" s="699">
        <f t="shared" si="39"/>
        <v>24</v>
      </c>
      <c r="N126" s="918" t="s">
        <v>23</v>
      </c>
      <c r="O126" s="918"/>
      <c r="P126" s="918"/>
      <c r="Q126" s="918" t="s">
        <v>23</v>
      </c>
      <c r="R126" s="918"/>
      <c r="S126" s="918"/>
      <c r="T126" s="918" t="s">
        <v>23</v>
      </c>
      <c r="U126" s="918"/>
      <c r="V126" s="918"/>
      <c r="W126" s="918" t="s">
        <v>23</v>
      </c>
      <c r="X126" s="918"/>
      <c r="Y126" s="918"/>
      <c r="Z126" s="918" t="s">
        <v>23</v>
      </c>
      <c r="AA126" s="918"/>
      <c r="AB126" s="918"/>
      <c r="AC126" s="918" t="s">
        <v>23</v>
      </c>
      <c r="AD126" s="918"/>
      <c r="AE126" s="918"/>
      <c r="AF126" s="918" t="s">
        <v>23</v>
      </c>
      <c r="AG126" s="918"/>
      <c r="AH126" s="918"/>
      <c r="AI126" s="65"/>
    </row>
    <row r="127" spans="2:35" ht="26.85" customHeight="1" x14ac:dyDescent="0.25">
      <c r="B127" s="345" t="s">
        <v>146</v>
      </c>
      <c r="C127" s="344"/>
      <c r="D127" s="286" t="s">
        <v>25</v>
      </c>
      <c r="E127" s="286"/>
      <c r="F127" s="751">
        <v>4</v>
      </c>
      <c r="G127" s="456">
        <v>6</v>
      </c>
      <c r="H127" s="750" t="s">
        <v>23</v>
      </c>
      <c r="I127" s="456">
        <f t="shared" si="38"/>
        <v>10</v>
      </c>
      <c r="J127" s="721" t="s">
        <v>23</v>
      </c>
      <c r="K127" s="699">
        <v>4</v>
      </c>
      <c r="L127" s="721" t="s">
        <v>23</v>
      </c>
      <c r="M127" s="699">
        <f t="shared" si="39"/>
        <v>4</v>
      </c>
      <c r="N127" s="918" t="s">
        <v>23</v>
      </c>
      <c r="O127" s="918"/>
      <c r="P127" s="918"/>
      <c r="Q127" s="918" t="s">
        <v>23</v>
      </c>
      <c r="R127" s="918"/>
      <c r="S127" s="918"/>
      <c r="T127" s="918" t="s">
        <v>23</v>
      </c>
      <c r="U127" s="918"/>
      <c r="V127" s="918"/>
      <c r="W127" s="918" t="s">
        <v>23</v>
      </c>
      <c r="X127" s="918"/>
      <c r="Y127" s="918"/>
      <c r="Z127" s="918" t="s">
        <v>23</v>
      </c>
      <c r="AA127" s="918"/>
      <c r="AB127" s="918"/>
      <c r="AC127" s="918" t="s">
        <v>23</v>
      </c>
      <c r="AD127" s="918"/>
      <c r="AE127" s="918"/>
      <c r="AF127" s="918" t="s">
        <v>23</v>
      </c>
      <c r="AG127" s="918"/>
      <c r="AH127" s="918"/>
      <c r="AI127" s="65"/>
    </row>
    <row r="128" spans="2:35" ht="26.85" customHeight="1" x14ac:dyDescent="0.25">
      <c r="B128" s="345" t="s">
        <v>113</v>
      </c>
      <c r="C128" s="344"/>
      <c r="D128" s="286"/>
      <c r="E128" s="286"/>
      <c r="F128" s="750" t="s">
        <v>23</v>
      </c>
      <c r="G128" s="750" t="s">
        <v>23</v>
      </c>
      <c r="H128" s="751">
        <v>1</v>
      </c>
      <c r="I128" s="456">
        <f>H128</f>
        <v>1</v>
      </c>
      <c r="J128" s="721" t="s">
        <v>23</v>
      </c>
      <c r="K128" s="721" t="s">
        <v>23</v>
      </c>
      <c r="L128" s="720" t="s">
        <v>23</v>
      </c>
      <c r="M128" s="699" t="str">
        <f>L128</f>
        <v>-</v>
      </c>
      <c r="N128" s="918" t="s">
        <v>23</v>
      </c>
      <c r="O128" s="918"/>
      <c r="P128" s="918"/>
      <c r="Q128" s="918" t="s">
        <v>23</v>
      </c>
      <c r="R128" s="918"/>
      <c r="S128" s="918"/>
      <c r="T128" s="918" t="s">
        <v>23</v>
      </c>
      <c r="U128" s="918"/>
      <c r="V128" s="918"/>
      <c r="W128" s="918" t="s">
        <v>23</v>
      </c>
      <c r="X128" s="918"/>
      <c r="Y128" s="918"/>
      <c r="Z128" s="918" t="s">
        <v>23</v>
      </c>
      <c r="AA128" s="918"/>
      <c r="AB128" s="918"/>
      <c r="AC128" s="918" t="s">
        <v>23</v>
      </c>
      <c r="AD128" s="918"/>
      <c r="AE128" s="918"/>
      <c r="AF128" s="918" t="s">
        <v>23</v>
      </c>
      <c r="AG128" s="918"/>
      <c r="AH128" s="918"/>
      <c r="AI128" s="65"/>
    </row>
    <row r="129" spans="2:35" ht="26.85" customHeight="1" x14ac:dyDescent="0.25">
      <c r="B129" s="350" t="s">
        <v>102</v>
      </c>
      <c r="C129" s="347"/>
      <c r="D129" s="286" t="s">
        <v>25</v>
      </c>
      <c r="E129" s="286"/>
      <c r="F129" s="751">
        <f>SUM(F122:F128)</f>
        <v>27</v>
      </c>
      <c r="G129" s="751">
        <f>SUM(G122:G128)</f>
        <v>67</v>
      </c>
      <c r="H129" s="751">
        <f>SUM(H122:H128)</f>
        <v>1</v>
      </c>
      <c r="I129" s="456">
        <f>SUM(F129:H129)</f>
        <v>95</v>
      </c>
      <c r="J129" s="720">
        <f>SUM(J122:J128)</f>
        <v>21</v>
      </c>
      <c r="K129" s="720">
        <f>SUM(K122:K128)</f>
        <v>83</v>
      </c>
      <c r="L129" s="720">
        <f>SUM(L122:L128)</f>
        <v>0</v>
      </c>
      <c r="M129" s="699">
        <f>SUM(J129:L129)</f>
        <v>104</v>
      </c>
      <c r="N129" s="963">
        <v>5.3999999999999999E-2</v>
      </c>
      <c r="O129" s="963"/>
      <c r="P129" s="963"/>
      <c r="Q129" s="963">
        <v>4.7E-2</v>
      </c>
      <c r="R129" s="963"/>
      <c r="S129" s="963"/>
      <c r="T129" s="963">
        <v>3.3000000000000002E-2</v>
      </c>
      <c r="U129" s="963"/>
      <c r="V129" s="963"/>
      <c r="W129" s="963">
        <v>3.5999999999999997E-2</v>
      </c>
      <c r="X129" s="963"/>
      <c r="Y129" s="963"/>
      <c r="Z129" s="963">
        <v>2.5999999999999999E-2</v>
      </c>
      <c r="AA129" s="963"/>
      <c r="AB129" s="963"/>
      <c r="AC129" s="963">
        <v>2.1000000000000001E-2</v>
      </c>
      <c r="AD129" s="963"/>
      <c r="AE129" s="963"/>
      <c r="AF129" s="963">
        <v>2.4E-2</v>
      </c>
      <c r="AG129" s="963"/>
      <c r="AH129" s="963"/>
      <c r="AI129" s="65"/>
    </row>
    <row r="130" spans="2:35" ht="26.85" customHeight="1" x14ac:dyDescent="0.2">
      <c r="B130" s="517" t="s">
        <v>206</v>
      </c>
      <c r="C130" s="518"/>
      <c r="D130" s="518"/>
      <c r="E130" s="518"/>
      <c r="F130" s="463"/>
      <c r="G130" s="463"/>
      <c r="H130" s="463"/>
      <c r="I130" s="463"/>
      <c r="J130" s="715"/>
      <c r="K130" s="715"/>
      <c r="L130" s="715"/>
      <c r="M130" s="715"/>
      <c r="N130" s="519"/>
      <c r="O130" s="519"/>
      <c r="P130" s="520"/>
      <c r="Q130" s="521"/>
      <c r="R130" s="521"/>
      <c r="S130" s="521"/>
      <c r="T130" s="522"/>
      <c r="U130" s="522"/>
      <c r="V130" s="522"/>
      <c r="W130" s="522"/>
      <c r="X130" s="522"/>
      <c r="Y130" s="522"/>
      <c r="Z130" s="522"/>
      <c r="AA130" s="522"/>
      <c r="AB130" s="522"/>
      <c r="AC130" s="522"/>
      <c r="AD130" s="522"/>
      <c r="AE130" s="522"/>
      <c r="AF130" s="522"/>
      <c r="AG130" s="522"/>
      <c r="AH130" s="522"/>
      <c r="AI130" s="65"/>
    </row>
    <row r="131" spans="2:35" ht="50.1" customHeight="1" x14ac:dyDescent="0.2">
      <c r="B131" s="514"/>
      <c r="C131" s="10"/>
      <c r="D131" s="10"/>
      <c r="E131" s="10"/>
      <c r="F131" s="43"/>
      <c r="G131" s="43"/>
      <c r="H131" s="43"/>
      <c r="I131" s="43"/>
      <c r="J131" s="44"/>
      <c r="K131" s="44"/>
      <c r="L131" s="44"/>
      <c r="M131" s="44"/>
      <c r="N131" s="38"/>
      <c r="O131" s="38"/>
      <c r="P131" s="515"/>
      <c r="Q131" s="516"/>
      <c r="R131" s="516"/>
      <c r="S131" s="516"/>
      <c r="T131" s="27"/>
      <c r="U131" s="27"/>
      <c r="V131" s="27"/>
      <c r="W131" s="27"/>
      <c r="X131" s="27"/>
      <c r="Y131" s="27"/>
      <c r="Z131" s="27"/>
      <c r="AA131" s="27"/>
      <c r="AB131" s="27"/>
      <c r="AC131" s="27"/>
      <c r="AD131" s="27"/>
      <c r="AE131" s="27"/>
      <c r="AF131" s="27"/>
      <c r="AG131" s="27"/>
      <c r="AH131" s="27"/>
      <c r="AI131" s="65"/>
    </row>
    <row r="132" spans="2:35" ht="26.85" customHeight="1" x14ac:dyDescent="0.2">
      <c r="B132" s="6" t="s">
        <v>207</v>
      </c>
      <c r="C132" s="6"/>
      <c r="D132" s="7" t="s">
        <v>9</v>
      </c>
      <c r="E132" s="7"/>
      <c r="F132" s="930" t="s">
        <v>10</v>
      </c>
      <c r="G132" s="930"/>
      <c r="H132" s="930"/>
      <c r="I132" s="930"/>
      <c r="J132" s="930" t="s">
        <v>11</v>
      </c>
      <c r="K132" s="930"/>
      <c r="L132" s="930"/>
      <c r="M132" s="930"/>
      <c r="N132" s="920" t="s">
        <v>12</v>
      </c>
      <c r="O132" s="920"/>
      <c r="P132" s="920"/>
      <c r="Q132" s="920" t="s">
        <v>13</v>
      </c>
      <c r="R132" s="920"/>
      <c r="S132" s="920"/>
      <c r="T132" s="920" t="s">
        <v>14</v>
      </c>
      <c r="U132" s="920"/>
      <c r="V132" s="920"/>
      <c r="W132" s="920" t="s">
        <v>15</v>
      </c>
      <c r="X132" s="920"/>
      <c r="Y132" s="920"/>
      <c r="Z132" s="920" t="s">
        <v>16</v>
      </c>
      <c r="AA132" s="920"/>
      <c r="AB132" s="920"/>
      <c r="AC132" s="920" t="s">
        <v>17</v>
      </c>
      <c r="AD132" s="920"/>
      <c r="AE132" s="920"/>
      <c r="AF132" s="920" t="s">
        <v>18</v>
      </c>
      <c r="AG132" s="920"/>
      <c r="AH132" s="920"/>
      <c r="AI132" s="65"/>
    </row>
    <row r="133" spans="2:35" ht="26.85" customHeight="1" x14ac:dyDescent="0.2">
      <c r="B133" s="188"/>
      <c r="C133" s="188"/>
      <c r="D133" s="180"/>
      <c r="E133" s="180"/>
      <c r="F133" s="182" t="s">
        <v>99</v>
      </c>
      <c r="G133" s="182" t="s">
        <v>100</v>
      </c>
      <c r="H133" s="532" t="s">
        <v>101</v>
      </c>
      <c r="I133" s="182" t="s">
        <v>102</v>
      </c>
      <c r="J133" s="452" t="s">
        <v>99</v>
      </c>
      <c r="K133" s="452" t="s">
        <v>100</v>
      </c>
      <c r="L133" s="690" t="s">
        <v>101</v>
      </c>
      <c r="M133" s="452" t="s">
        <v>102</v>
      </c>
      <c r="N133" s="956"/>
      <c r="O133" s="956"/>
      <c r="P133" s="956"/>
      <c r="Q133" s="956"/>
      <c r="R133" s="956"/>
      <c r="S133" s="956"/>
      <c r="T133" s="956"/>
      <c r="U133" s="956"/>
      <c r="V133" s="956"/>
      <c r="W133" s="956"/>
      <c r="X133" s="956"/>
      <c r="Y133" s="956"/>
      <c r="Z133" s="956"/>
      <c r="AA133" s="956"/>
      <c r="AB133" s="956"/>
      <c r="AC133" s="956"/>
      <c r="AD133" s="956"/>
      <c r="AE133" s="956"/>
      <c r="AF133" s="956"/>
      <c r="AG133" s="956"/>
      <c r="AH133" s="956"/>
      <c r="AI133" s="65"/>
    </row>
    <row r="134" spans="2:35" ht="26.85" customHeight="1" x14ac:dyDescent="0.25">
      <c r="B134" s="193" t="s">
        <v>208</v>
      </c>
      <c r="C134" s="188"/>
      <c r="D134" s="180" t="s">
        <v>25</v>
      </c>
      <c r="E134" s="180"/>
      <c r="F134" s="760">
        <v>5</v>
      </c>
      <c r="G134" s="760">
        <v>5</v>
      </c>
      <c r="H134" s="750" t="s">
        <v>23</v>
      </c>
      <c r="I134" s="760">
        <f>SUM(F134:H134)</f>
        <v>10</v>
      </c>
      <c r="J134" s="723">
        <v>2</v>
      </c>
      <c r="K134" s="723">
        <v>4</v>
      </c>
      <c r="L134" s="721" t="s">
        <v>23</v>
      </c>
      <c r="M134" s="723">
        <f>SUM(J134:L134)</f>
        <v>6</v>
      </c>
      <c r="N134" s="918" t="s">
        <v>23</v>
      </c>
      <c r="O134" s="918"/>
      <c r="P134" s="918"/>
      <c r="Q134" s="918" t="s">
        <v>23</v>
      </c>
      <c r="R134" s="918"/>
      <c r="S134" s="918"/>
      <c r="T134" s="918" t="s">
        <v>23</v>
      </c>
      <c r="U134" s="918"/>
      <c r="V134" s="918"/>
      <c r="W134" s="918" t="s">
        <v>23</v>
      </c>
      <c r="X134" s="918"/>
      <c r="Y134" s="918"/>
      <c r="Z134" s="918" t="s">
        <v>23</v>
      </c>
      <c r="AA134" s="918"/>
      <c r="AB134" s="918"/>
      <c r="AC134" s="918" t="s">
        <v>23</v>
      </c>
      <c r="AD134" s="918"/>
      <c r="AE134" s="918"/>
      <c r="AF134" s="918" t="s">
        <v>23</v>
      </c>
      <c r="AG134" s="918"/>
      <c r="AH134" s="918"/>
      <c r="AI134" s="65"/>
    </row>
    <row r="135" spans="2:35" ht="26.85" customHeight="1" x14ac:dyDescent="0.25">
      <c r="B135" s="193" t="s">
        <v>209</v>
      </c>
      <c r="C135" s="188"/>
      <c r="D135" s="180" t="s">
        <v>25</v>
      </c>
      <c r="E135" s="180"/>
      <c r="F135" s="760">
        <v>42</v>
      </c>
      <c r="G135" s="760">
        <v>108</v>
      </c>
      <c r="H135" s="750" t="s">
        <v>23</v>
      </c>
      <c r="I135" s="760">
        <f>SUM(F135:H135)</f>
        <v>150</v>
      </c>
      <c r="J135" s="723">
        <v>31</v>
      </c>
      <c r="K135" s="723">
        <v>88</v>
      </c>
      <c r="L135" s="721" t="s">
        <v>23</v>
      </c>
      <c r="M135" s="723">
        <f>SUM(J135:L135)</f>
        <v>119</v>
      </c>
      <c r="N135" s="918">
        <v>41</v>
      </c>
      <c r="O135" s="918"/>
      <c r="P135" s="918"/>
      <c r="Q135" s="918" t="s">
        <v>23</v>
      </c>
      <c r="R135" s="918"/>
      <c r="S135" s="918"/>
      <c r="T135" s="918" t="s">
        <v>23</v>
      </c>
      <c r="U135" s="918"/>
      <c r="V135" s="918"/>
      <c r="W135" s="918" t="s">
        <v>23</v>
      </c>
      <c r="X135" s="918"/>
      <c r="Y135" s="918"/>
      <c r="Z135" s="918" t="s">
        <v>23</v>
      </c>
      <c r="AA135" s="918"/>
      <c r="AB135" s="918"/>
      <c r="AC135" s="918" t="s">
        <v>23</v>
      </c>
      <c r="AD135" s="918"/>
      <c r="AE135" s="918"/>
      <c r="AF135" s="918" t="s">
        <v>23</v>
      </c>
      <c r="AG135" s="918"/>
      <c r="AH135" s="918"/>
      <c r="AI135" s="65"/>
    </row>
    <row r="136" spans="2:35" ht="26.85" customHeight="1" x14ac:dyDescent="0.25">
      <c r="B136" s="193" t="s">
        <v>210</v>
      </c>
      <c r="C136" s="188"/>
      <c r="D136" s="180" t="s">
        <v>25</v>
      </c>
      <c r="E136" s="180"/>
      <c r="F136" s="760">
        <v>13</v>
      </c>
      <c r="G136" s="760">
        <v>25</v>
      </c>
      <c r="H136" s="750" t="s">
        <v>23</v>
      </c>
      <c r="I136" s="760">
        <f>SUM(F136:H136)</f>
        <v>38</v>
      </c>
      <c r="J136" s="723">
        <v>11</v>
      </c>
      <c r="K136" s="723">
        <v>20</v>
      </c>
      <c r="L136" s="721" t="s">
        <v>23</v>
      </c>
      <c r="M136" s="723">
        <f>SUM(J136:L136)</f>
        <v>31</v>
      </c>
      <c r="N136" s="918">
        <v>10</v>
      </c>
      <c r="O136" s="918"/>
      <c r="P136" s="918"/>
      <c r="Q136" s="918" t="s">
        <v>23</v>
      </c>
      <c r="R136" s="918"/>
      <c r="S136" s="918"/>
      <c r="T136" s="918" t="s">
        <v>23</v>
      </c>
      <c r="U136" s="918"/>
      <c r="V136" s="918"/>
      <c r="W136" s="918" t="s">
        <v>23</v>
      </c>
      <c r="X136" s="918"/>
      <c r="Y136" s="918"/>
      <c r="Z136" s="918" t="s">
        <v>23</v>
      </c>
      <c r="AA136" s="918"/>
      <c r="AB136" s="918"/>
      <c r="AC136" s="918" t="s">
        <v>23</v>
      </c>
      <c r="AD136" s="918"/>
      <c r="AE136" s="918"/>
      <c r="AF136" s="918" t="s">
        <v>23</v>
      </c>
      <c r="AG136" s="918"/>
      <c r="AH136" s="918"/>
      <c r="AI136" s="65"/>
    </row>
    <row r="137" spans="2:35" ht="26.85" customHeight="1" x14ac:dyDescent="0.25">
      <c r="B137" s="193" t="s">
        <v>113</v>
      </c>
      <c r="C137" s="188"/>
      <c r="D137" s="180" t="s">
        <v>25</v>
      </c>
      <c r="E137" s="180"/>
      <c r="F137" s="459" t="s">
        <v>23</v>
      </c>
      <c r="G137" s="459" t="s">
        <v>23</v>
      </c>
      <c r="H137" s="459" t="s">
        <v>23</v>
      </c>
      <c r="I137" s="267">
        <f>SUM(F137:H137)</f>
        <v>0</v>
      </c>
      <c r="J137" s="721" t="s">
        <v>23</v>
      </c>
      <c r="K137" s="721" t="s">
        <v>23</v>
      </c>
      <c r="L137" s="723">
        <v>2</v>
      </c>
      <c r="M137" s="723">
        <f>SUM(J137:L137)</f>
        <v>2</v>
      </c>
      <c r="N137" s="918" t="s">
        <v>23</v>
      </c>
      <c r="O137" s="918"/>
      <c r="P137" s="918"/>
      <c r="Q137" s="918" t="s">
        <v>23</v>
      </c>
      <c r="R137" s="918"/>
      <c r="S137" s="918"/>
      <c r="T137" s="918" t="s">
        <v>23</v>
      </c>
      <c r="U137" s="918"/>
      <c r="V137" s="918"/>
      <c r="W137" s="918" t="s">
        <v>23</v>
      </c>
      <c r="X137" s="918"/>
      <c r="Y137" s="918"/>
      <c r="Z137" s="918" t="s">
        <v>23</v>
      </c>
      <c r="AA137" s="918"/>
      <c r="AB137" s="918"/>
      <c r="AC137" s="918" t="s">
        <v>23</v>
      </c>
      <c r="AD137" s="918"/>
      <c r="AE137" s="918"/>
      <c r="AF137" s="918" t="s">
        <v>23</v>
      </c>
      <c r="AG137" s="918"/>
      <c r="AH137" s="918"/>
      <c r="AI137" s="65"/>
    </row>
    <row r="138" spans="2:35" ht="26.85" customHeight="1" x14ac:dyDescent="0.25">
      <c r="B138" s="231" t="s">
        <v>102</v>
      </c>
      <c r="C138" s="188"/>
      <c r="D138" s="286" t="s">
        <v>25</v>
      </c>
      <c r="E138" s="286"/>
      <c r="F138" s="267">
        <f t="shared" ref="F138:I138" si="40">SUM(F134:F137)</f>
        <v>60</v>
      </c>
      <c r="G138" s="267">
        <f t="shared" si="40"/>
        <v>138</v>
      </c>
      <c r="H138" s="267">
        <f t="shared" si="40"/>
        <v>0</v>
      </c>
      <c r="I138" s="267">
        <f t="shared" si="40"/>
        <v>198</v>
      </c>
      <c r="J138" s="723">
        <f t="shared" ref="J138:M138" si="41">SUM(J134:J137)</f>
        <v>44</v>
      </c>
      <c r="K138" s="723">
        <f t="shared" si="41"/>
        <v>112</v>
      </c>
      <c r="L138" s="723">
        <f t="shared" si="41"/>
        <v>2</v>
      </c>
      <c r="M138" s="723">
        <f t="shared" si="41"/>
        <v>158</v>
      </c>
      <c r="N138" s="918" t="s">
        <v>23</v>
      </c>
      <c r="O138" s="918"/>
      <c r="P138" s="918"/>
      <c r="Q138" s="918" t="s">
        <v>23</v>
      </c>
      <c r="R138" s="918"/>
      <c r="S138" s="918"/>
      <c r="T138" s="918" t="s">
        <v>23</v>
      </c>
      <c r="U138" s="918"/>
      <c r="V138" s="918"/>
      <c r="W138" s="918" t="s">
        <v>23</v>
      </c>
      <c r="X138" s="918"/>
      <c r="Y138" s="918"/>
      <c r="Z138" s="918" t="s">
        <v>23</v>
      </c>
      <c r="AA138" s="918"/>
      <c r="AB138" s="918"/>
      <c r="AC138" s="918" t="s">
        <v>23</v>
      </c>
      <c r="AD138" s="918"/>
      <c r="AE138" s="918"/>
      <c r="AF138" s="918" t="s">
        <v>23</v>
      </c>
      <c r="AG138" s="918"/>
      <c r="AH138" s="918"/>
      <c r="AI138" s="65"/>
    </row>
    <row r="139" spans="2:35" ht="26.85" customHeight="1" x14ac:dyDescent="0.2">
      <c r="B139" s="517" t="s">
        <v>211</v>
      </c>
      <c r="C139" s="523"/>
      <c r="D139" s="518"/>
      <c r="E139" s="518"/>
      <c r="F139" s="463"/>
      <c r="G139" s="463"/>
      <c r="H139" s="463"/>
      <c r="I139" s="606"/>
      <c r="J139" s="715"/>
      <c r="K139" s="715"/>
      <c r="L139" s="715"/>
      <c r="M139" s="716"/>
      <c r="N139" s="519"/>
      <c r="O139" s="519"/>
      <c r="P139" s="520"/>
      <c r="Q139" s="521"/>
      <c r="R139" s="521"/>
      <c r="S139" s="521"/>
      <c r="T139" s="522"/>
      <c r="U139" s="522"/>
      <c r="V139" s="522"/>
      <c r="W139" s="522"/>
      <c r="X139" s="522"/>
      <c r="Y139" s="522"/>
      <c r="Z139" s="522"/>
      <c r="AA139" s="522"/>
      <c r="AB139" s="522"/>
      <c r="AC139" s="522"/>
      <c r="AD139" s="522"/>
      <c r="AE139" s="522"/>
      <c r="AF139" s="522"/>
      <c r="AG139" s="522"/>
      <c r="AH139" s="522"/>
      <c r="AI139" s="65"/>
    </row>
    <row r="140" spans="2:35" ht="50.1" customHeight="1" x14ac:dyDescent="0.2">
      <c r="B140" s="514"/>
      <c r="C140" s="285"/>
      <c r="D140" s="10"/>
      <c r="E140" s="10"/>
      <c r="F140" s="43"/>
      <c r="G140" s="43"/>
      <c r="H140" s="43"/>
      <c r="I140" s="43"/>
      <c r="J140" s="44"/>
      <c r="K140" s="44"/>
      <c r="L140" s="44"/>
      <c r="M140" s="44"/>
      <c r="N140" s="38"/>
      <c r="O140" s="38"/>
      <c r="P140" s="515"/>
      <c r="Q140" s="516"/>
      <c r="R140" s="516"/>
      <c r="S140" s="516"/>
      <c r="T140" s="27"/>
      <c r="U140" s="27"/>
      <c r="V140" s="27"/>
      <c r="W140" s="27"/>
      <c r="X140" s="27"/>
      <c r="Y140" s="27"/>
      <c r="Z140" s="27"/>
      <c r="AA140" s="27"/>
      <c r="AB140" s="27"/>
      <c r="AC140" s="27"/>
      <c r="AD140" s="27"/>
      <c r="AE140" s="27"/>
      <c r="AF140" s="27"/>
      <c r="AG140" s="27"/>
      <c r="AH140" s="27"/>
      <c r="AI140" s="65"/>
    </row>
    <row r="141" spans="2:35" ht="26.85" customHeight="1" x14ac:dyDescent="0.2">
      <c r="B141" s="6" t="s">
        <v>150</v>
      </c>
      <c r="C141" s="6"/>
      <c r="D141" s="7" t="s">
        <v>9</v>
      </c>
      <c r="E141" s="7"/>
      <c r="F141" s="930" t="s">
        <v>10</v>
      </c>
      <c r="G141" s="930"/>
      <c r="H141" s="930"/>
      <c r="I141" s="930"/>
      <c r="J141" s="930" t="s">
        <v>11</v>
      </c>
      <c r="K141" s="930"/>
      <c r="L141" s="930"/>
      <c r="M141" s="930"/>
      <c r="N141" s="920" t="s">
        <v>12</v>
      </c>
      <c r="O141" s="920"/>
      <c r="P141" s="920"/>
      <c r="Q141" s="920" t="s">
        <v>13</v>
      </c>
      <c r="R141" s="920"/>
      <c r="S141" s="920"/>
      <c r="T141" s="920" t="s">
        <v>14</v>
      </c>
      <c r="U141" s="920"/>
      <c r="V141" s="920"/>
      <c r="W141" s="920" t="s">
        <v>15</v>
      </c>
      <c r="X141" s="920"/>
      <c r="Y141" s="920"/>
      <c r="Z141" s="920" t="s">
        <v>16</v>
      </c>
      <c r="AA141" s="920"/>
      <c r="AB141" s="920"/>
      <c r="AC141" s="920" t="s">
        <v>17</v>
      </c>
      <c r="AD141" s="920"/>
      <c r="AE141" s="920"/>
      <c r="AF141" s="920" t="s">
        <v>18</v>
      </c>
      <c r="AG141" s="920"/>
      <c r="AH141" s="920"/>
      <c r="AI141" s="65"/>
    </row>
    <row r="142" spans="2:35" ht="26.85" customHeight="1" x14ac:dyDescent="0.25">
      <c r="B142" s="193"/>
      <c r="C142" s="188"/>
      <c r="D142" s="198"/>
      <c r="E142" s="198"/>
      <c r="F142" s="182" t="s">
        <v>99</v>
      </c>
      <c r="G142" s="182" t="s">
        <v>100</v>
      </c>
      <c r="H142" s="532" t="s">
        <v>101</v>
      </c>
      <c r="I142" s="182" t="s">
        <v>102</v>
      </c>
      <c r="J142" s="452" t="s">
        <v>99</v>
      </c>
      <c r="K142" s="452" t="s">
        <v>100</v>
      </c>
      <c r="L142" s="690" t="s">
        <v>101</v>
      </c>
      <c r="M142" s="452" t="s">
        <v>102</v>
      </c>
      <c r="N142" s="183" t="s">
        <v>99</v>
      </c>
      <c r="O142" s="183" t="s">
        <v>100</v>
      </c>
      <c r="P142" s="183" t="s">
        <v>102</v>
      </c>
      <c r="Q142" s="183" t="s">
        <v>99</v>
      </c>
      <c r="R142" s="183" t="s">
        <v>100</v>
      </c>
      <c r="S142" s="183" t="s">
        <v>102</v>
      </c>
      <c r="T142" s="183" t="s">
        <v>99</v>
      </c>
      <c r="U142" s="183" t="s">
        <v>100</v>
      </c>
      <c r="V142" s="183" t="s">
        <v>102</v>
      </c>
      <c r="W142" s="183" t="s">
        <v>99</v>
      </c>
      <c r="X142" s="183" t="s">
        <v>100</v>
      </c>
      <c r="Y142" s="183" t="s">
        <v>102</v>
      </c>
      <c r="Z142" s="183" t="s">
        <v>99</v>
      </c>
      <c r="AA142" s="183" t="s">
        <v>100</v>
      </c>
      <c r="AB142" s="183" t="s">
        <v>102</v>
      </c>
      <c r="AC142" s="183" t="s">
        <v>99</v>
      </c>
      <c r="AD142" s="183" t="s">
        <v>100</v>
      </c>
      <c r="AE142" s="183" t="s">
        <v>102</v>
      </c>
      <c r="AF142" s="183" t="s">
        <v>99</v>
      </c>
      <c r="AG142" s="183" t="s">
        <v>100</v>
      </c>
      <c r="AH142" s="183" t="s">
        <v>102</v>
      </c>
      <c r="AI142" s="58"/>
    </row>
    <row r="143" spans="2:35" ht="26.85" customHeight="1" x14ac:dyDescent="0.25">
      <c r="B143" s="193" t="s">
        <v>151</v>
      </c>
      <c r="C143" s="188"/>
      <c r="D143" s="180" t="s">
        <v>25</v>
      </c>
      <c r="E143" s="180"/>
      <c r="F143" s="760">
        <v>558</v>
      </c>
      <c r="G143" s="756">
        <v>2422</v>
      </c>
      <c r="H143" s="760">
        <v>6</v>
      </c>
      <c r="I143" s="756">
        <f>SUM(F143:H143)</f>
        <v>2986</v>
      </c>
      <c r="J143" s="723">
        <v>512</v>
      </c>
      <c r="K143" s="700">
        <v>2348</v>
      </c>
      <c r="L143" s="723">
        <v>6</v>
      </c>
      <c r="M143" s="700">
        <f>SUM(J143:K143)</f>
        <v>2860</v>
      </c>
      <c r="N143" s="372" t="s">
        <v>23</v>
      </c>
      <c r="O143" s="372" t="s">
        <v>23</v>
      </c>
      <c r="P143" s="372" t="s">
        <v>23</v>
      </c>
      <c r="Q143" s="372" t="s">
        <v>23</v>
      </c>
      <c r="R143" s="372" t="s">
        <v>23</v>
      </c>
      <c r="S143" s="372" t="s">
        <v>23</v>
      </c>
      <c r="T143" s="372" t="s">
        <v>23</v>
      </c>
      <c r="U143" s="372" t="s">
        <v>23</v>
      </c>
      <c r="V143" s="372" t="s">
        <v>23</v>
      </c>
      <c r="W143" s="372" t="s">
        <v>23</v>
      </c>
      <c r="X143" s="372" t="s">
        <v>23</v>
      </c>
      <c r="Y143" s="372" t="s">
        <v>23</v>
      </c>
      <c r="Z143" s="372" t="s">
        <v>23</v>
      </c>
      <c r="AA143" s="372" t="s">
        <v>23</v>
      </c>
      <c r="AB143" s="372" t="s">
        <v>23</v>
      </c>
      <c r="AC143" s="372" t="s">
        <v>23</v>
      </c>
      <c r="AD143" s="372" t="s">
        <v>23</v>
      </c>
      <c r="AE143" s="372" t="s">
        <v>23</v>
      </c>
      <c r="AF143" s="372" t="s">
        <v>23</v>
      </c>
      <c r="AG143" s="372" t="s">
        <v>23</v>
      </c>
      <c r="AH143" s="372" t="s">
        <v>23</v>
      </c>
      <c r="AI143" s="58"/>
    </row>
    <row r="144" spans="2:35" ht="26.85" customHeight="1" x14ac:dyDescent="0.25">
      <c r="B144" s="193" t="s">
        <v>212</v>
      </c>
      <c r="C144" s="193"/>
      <c r="D144" s="180" t="s">
        <v>25</v>
      </c>
      <c r="E144" s="180"/>
      <c r="F144" s="760">
        <v>32</v>
      </c>
      <c r="G144" s="756">
        <v>190</v>
      </c>
      <c r="H144" s="750" t="s">
        <v>23</v>
      </c>
      <c r="I144" s="756">
        <f>SUM(F144:H144)</f>
        <v>222</v>
      </c>
      <c r="J144" s="723">
        <v>31</v>
      </c>
      <c r="K144" s="723">
        <v>176</v>
      </c>
      <c r="L144" s="721" t="s">
        <v>23</v>
      </c>
      <c r="M144" s="699">
        <f t="shared" ref="M144:M147" si="42">SUM(J144:K144)</f>
        <v>207</v>
      </c>
      <c r="N144" s="373">
        <v>31</v>
      </c>
      <c r="O144" s="373">
        <v>168</v>
      </c>
      <c r="P144" s="219">
        <f t="shared" ref="P144" si="43">SUM(N144:O144)</f>
        <v>199</v>
      </c>
      <c r="Q144" s="373">
        <v>33</v>
      </c>
      <c r="R144" s="373">
        <v>182</v>
      </c>
      <c r="S144" s="373">
        <v>215</v>
      </c>
      <c r="T144" s="374">
        <v>31</v>
      </c>
      <c r="U144" s="374">
        <v>179</v>
      </c>
      <c r="V144" s="374">
        <f>SUM(T144:U144)</f>
        <v>210</v>
      </c>
      <c r="W144" s="374">
        <v>50</v>
      </c>
      <c r="X144" s="374">
        <v>220</v>
      </c>
      <c r="Y144" s="374">
        <f>SUM(W144:X144)</f>
        <v>270</v>
      </c>
      <c r="Z144" s="374">
        <v>39</v>
      </c>
      <c r="AA144" s="374">
        <v>211</v>
      </c>
      <c r="AB144" s="374">
        <f>SUM(Z144:AA144)</f>
        <v>250</v>
      </c>
      <c r="AC144" s="374">
        <v>44</v>
      </c>
      <c r="AD144" s="374">
        <v>219</v>
      </c>
      <c r="AE144" s="374">
        <f>SUM(AC144:AD144)</f>
        <v>263</v>
      </c>
      <c r="AF144" s="374">
        <v>45</v>
      </c>
      <c r="AG144" s="374">
        <v>201</v>
      </c>
      <c r="AH144" s="374">
        <f>SUM(AF144:AG144)</f>
        <v>246</v>
      </c>
      <c r="AI144" s="65"/>
    </row>
    <row r="145" spans="2:35" ht="26.85" customHeight="1" x14ac:dyDescent="0.25">
      <c r="B145" s="193" t="s">
        <v>153</v>
      </c>
      <c r="C145" s="188"/>
      <c r="D145" s="180" t="s">
        <v>25</v>
      </c>
      <c r="E145" s="180"/>
      <c r="F145" s="760">
        <v>32</v>
      </c>
      <c r="G145" s="756">
        <v>188</v>
      </c>
      <c r="H145" s="750" t="s">
        <v>23</v>
      </c>
      <c r="I145" s="756">
        <f>SUM(F145:H145)</f>
        <v>220</v>
      </c>
      <c r="J145" s="723">
        <v>31</v>
      </c>
      <c r="K145" s="723">
        <v>174</v>
      </c>
      <c r="L145" s="721" t="s">
        <v>23</v>
      </c>
      <c r="M145" s="699">
        <f t="shared" si="42"/>
        <v>205</v>
      </c>
      <c r="N145" s="372" t="s">
        <v>23</v>
      </c>
      <c r="O145" s="372" t="s">
        <v>23</v>
      </c>
      <c r="P145" s="372" t="s">
        <v>23</v>
      </c>
      <c r="Q145" s="372" t="s">
        <v>23</v>
      </c>
      <c r="R145" s="372" t="s">
        <v>23</v>
      </c>
      <c r="S145" s="372" t="s">
        <v>23</v>
      </c>
      <c r="T145" s="372" t="s">
        <v>23</v>
      </c>
      <c r="U145" s="372" t="s">
        <v>23</v>
      </c>
      <c r="V145" s="372" t="s">
        <v>23</v>
      </c>
      <c r="W145" s="372" t="s">
        <v>23</v>
      </c>
      <c r="X145" s="372" t="s">
        <v>23</v>
      </c>
      <c r="Y145" s="372" t="s">
        <v>23</v>
      </c>
      <c r="Z145" s="372" t="s">
        <v>23</v>
      </c>
      <c r="AA145" s="372" t="s">
        <v>23</v>
      </c>
      <c r="AB145" s="372" t="s">
        <v>23</v>
      </c>
      <c r="AC145" s="372" t="s">
        <v>23</v>
      </c>
      <c r="AD145" s="372" t="s">
        <v>23</v>
      </c>
      <c r="AE145" s="372" t="s">
        <v>23</v>
      </c>
      <c r="AF145" s="372" t="s">
        <v>23</v>
      </c>
      <c r="AG145" s="372" t="s">
        <v>23</v>
      </c>
      <c r="AH145" s="372" t="s">
        <v>23</v>
      </c>
      <c r="AI145" s="65"/>
    </row>
    <row r="146" spans="2:35" ht="26.85" customHeight="1" x14ac:dyDescent="0.25">
      <c r="B146" s="193" t="s">
        <v>154</v>
      </c>
      <c r="C146" s="188"/>
      <c r="D146" s="180" t="s">
        <v>31</v>
      </c>
      <c r="E146" s="180"/>
      <c r="F146" s="770">
        <v>1</v>
      </c>
      <c r="G146" s="770">
        <v>0.92600000000000005</v>
      </c>
      <c r="H146" s="459" t="s">
        <v>23</v>
      </c>
      <c r="I146" s="771">
        <v>0.93710000000000004</v>
      </c>
      <c r="J146" s="721">
        <v>0.90300000000000002</v>
      </c>
      <c r="K146" s="721">
        <v>0.95199999999999996</v>
      </c>
      <c r="L146" s="721" t="s">
        <v>23</v>
      </c>
      <c r="M146" s="718">
        <v>0.94469999999999998</v>
      </c>
      <c r="N146" s="372" t="s">
        <v>23</v>
      </c>
      <c r="O146" s="372" t="s">
        <v>23</v>
      </c>
      <c r="P146" s="372" t="s">
        <v>23</v>
      </c>
      <c r="Q146" s="372" t="s">
        <v>23</v>
      </c>
      <c r="R146" s="372" t="s">
        <v>23</v>
      </c>
      <c r="S146" s="372" t="s">
        <v>23</v>
      </c>
      <c r="T146" s="372" t="s">
        <v>23</v>
      </c>
      <c r="U146" s="372" t="s">
        <v>23</v>
      </c>
      <c r="V146" s="372" t="s">
        <v>23</v>
      </c>
      <c r="W146" s="372" t="s">
        <v>23</v>
      </c>
      <c r="X146" s="372" t="s">
        <v>23</v>
      </c>
      <c r="Y146" s="372" t="s">
        <v>23</v>
      </c>
      <c r="Z146" s="372" t="s">
        <v>23</v>
      </c>
      <c r="AA146" s="372" t="s">
        <v>23</v>
      </c>
      <c r="AB146" s="372" t="s">
        <v>23</v>
      </c>
      <c r="AC146" s="372" t="s">
        <v>23</v>
      </c>
      <c r="AD146" s="372" t="s">
        <v>23</v>
      </c>
      <c r="AE146" s="372" t="s">
        <v>23</v>
      </c>
      <c r="AF146" s="372" t="s">
        <v>23</v>
      </c>
      <c r="AG146" s="372" t="s">
        <v>23</v>
      </c>
      <c r="AH146" s="372" t="s">
        <v>23</v>
      </c>
      <c r="AI146" s="65"/>
    </row>
    <row r="147" spans="2:35" ht="39.950000000000003" customHeight="1" x14ac:dyDescent="0.25">
      <c r="B147" s="248" t="s">
        <v>213</v>
      </c>
      <c r="C147" s="188"/>
      <c r="D147" s="180" t="s">
        <v>25</v>
      </c>
      <c r="E147" s="180"/>
      <c r="F147" s="769">
        <v>31</v>
      </c>
      <c r="G147" s="769">
        <v>163</v>
      </c>
      <c r="H147" s="459" t="s">
        <v>23</v>
      </c>
      <c r="I147" s="756">
        <f>SUM(F147:H147)</f>
        <v>194</v>
      </c>
      <c r="J147" s="720">
        <v>28</v>
      </c>
      <c r="K147" s="720">
        <v>160</v>
      </c>
      <c r="L147" s="721" t="s">
        <v>23</v>
      </c>
      <c r="M147" s="699">
        <f t="shared" si="42"/>
        <v>188</v>
      </c>
      <c r="N147" s="372" t="s">
        <v>23</v>
      </c>
      <c r="O147" s="372" t="s">
        <v>23</v>
      </c>
      <c r="P147" s="372" t="s">
        <v>23</v>
      </c>
      <c r="Q147" s="372" t="s">
        <v>23</v>
      </c>
      <c r="R147" s="372" t="s">
        <v>23</v>
      </c>
      <c r="S147" s="372" t="s">
        <v>23</v>
      </c>
      <c r="T147" s="372" t="s">
        <v>23</v>
      </c>
      <c r="U147" s="372" t="s">
        <v>23</v>
      </c>
      <c r="V147" s="372" t="s">
        <v>23</v>
      </c>
      <c r="W147" s="372" t="s">
        <v>23</v>
      </c>
      <c r="X147" s="372" t="s">
        <v>23</v>
      </c>
      <c r="Y147" s="372" t="s">
        <v>23</v>
      </c>
      <c r="Z147" s="372" t="s">
        <v>23</v>
      </c>
      <c r="AA147" s="372" t="s">
        <v>23</v>
      </c>
      <c r="AB147" s="372" t="s">
        <v>23</v>
      </c>
      <c r="AC147" s="372" t="s">
        <v>23</v>
      </c>
      <c r="AD147" s="372" t="s">
        <v>23</v>
      </c>
      <c r="AE147" s="372" t="s">
        <v>23</v>
      </c>
      <c r="AF147" s="372" t="s">
        <v>23</v>
      </c>
      <c r="AG147" s="372" t="s">
        <v>23</v>
      </c>
      <c r="AH147" s="372" t="s">
        <v>23</v>
      </c>
      <c r="AI147" s="65"/>
    </row>
    <row r="148" spans="2:35" ht="50.1" customHeight="1" x14ac:dyDescent="0.2">
      <c r="B148" s="193"/>
      <c r="C148" s="188"/>
      <c r="D148" s="180"/>
      <c r="E148" s="180"/>
      <c r="F148" s="268"/>
      <c r="G148" s="268"/>
      <c r="H148" s="268"/>
      <c r="I148" s="262"/>
      <c r="J148" s="714"/>
      <c r="K148" s="714"/>
      <c r="L148" s="714"/>
      <c r="M148" s="653"/>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65"/>
    </row>
    <row r="149" spans="2:35" ht="26.85" customHeight="1" x14ac:dyDescent="0.2">
      <c r="B149" s="6" t="s">
        <v>156</v>
      </c>
      <c r="C149" s="6"/>
      <c r="D149" s="7" t="s">
        <v>9</v>
      </c>
      <c r="E149" s="7"/>
      <c r="F149" s="930" t="s">
        <v>10</v>
      </c>
      <c r="G149" s="930"/>
      <c r="H149" s="930"/>
      <c r="I149" s="930"/>
      <c r="J149" s="930" t="s">
        <v>11</v>
      </c>
      <c r="K149" s="930"/>
      <c r="L149" s="930"/>
      <c r="M149" s="930"/>
      <c r="N149" s="920" t="s">
        <v>12</v>
      </c>
      <c r="O149" s="920"/>
      <c r="P149" s="920"/>
      <c r="Q149" s="920" t="s">
        <v>13</v>
      </c>
      <c r="R149" s="920"/>
      <c r="S149" s="920"/>
      <c r="T149" s="920" t="s">
        <v>14</v>
      </c>
      <c r="U149" s="920"/>
      <c r="V149" s="920"/>
      <c r="W149" s="920" t="s">
        <v>15</v>
      </c>
      <c r="X149" s="920"/>
      <c r="Y149" s="920"/>
      <c r="Z149" s="920" t="s">
        <v>16</v>
      </c>
      <c r="AA149" s="920"/>
      <c r="AB149" s="920"/>
      <c r="AC149" s="920" t="s">
        <v>17</v>
      </c>
      <c r="AD149" s="920"/>
      <c r="AE149" s="920"/>
      <c r="AF149" s="920" t="s">
        <v>18</v>
      </c>
      <c r="AG149" s="920"/>
      <c r="AH149" s="920"/>
      <c r="AI149" s="65"/>
    </row>
    <row r="150" spans="2:35" ht="26.85" customHeight="1" x14ac:dyDescent="0.25">
      <c r="B150" s="180" t="s">
        <v>141</v>
      </c>
      <c r="C150" s="180"/>
      <c r="D150" s="286" t="s">
        <v>31</v>
      </c>
      <c r="E150" s="286"/>
      <c r="F150" s="951">
        <v>4.2099999999999999E-2</v>
      </c>
      <c r="G150" s="951"/>
      <c r="H150" s="951"/>
      <c r="I150" s="951"/>
      <c r="J150" s="938">
        <v>3.6900000000000002E-2</v>
      </c>
      <c r="K150" s="938"/>
      <c r="L150" s="938"/>
      <c r="M150" s="938"/>
      <c r="N150" s="965">
        <v>2.1656926778961843E-2</v>
      </c>
      <c r="O150" s="965"/>
      <c r="P150" s="965"/>
      <c r="Q150" s="966">
        <v>0.01</v>
      </c>
      <c r="R150" s="966"/>
      <c r="S150" s="966"/>
      <c r="T150" s="965">
        <v>7.7999999999999996E-3</v>
      </c>
      <c r="U150" s="965"/>
      <c r="V150" s="965"/>
      <c r="W150" s="965">
        <v>1.17E-2</v>
      </c>
      <c r="X150" s="965"/>
      <c r="Y150" s="965"/>
      <c r="Z150" s="965">
        <v>1.2488577520560463E-2</v>
      </c>
      <c r="AA150" s="965"/>
      <c r="AB150" s="965"/>
      <c r="AC150" s="965">
        <v>1.1829197922677438E-2</v>
      </c>
      <c r="AD150" s="965"/>
      <c r="AE150" s="965"/>
      <c r="AF150" s="966">
        <v>1.9715224534501644E-2</v>
      </c>
      <c r="AG150" s="966"/>
      <c r="AH150" s="966"/>
      <c r="AI150" s="65"/>
    </row>
    <row r="151" spans="2:35" ht="26.85" customHeight="1" x14ac:dyDescent="0.25">
      <c r="B151" s="180" t="s">
        <v>142</v>
      </c>
      <c r="C151" s="180"/>
      <c r="D151" s="286" t="s">
        <v>31</v>
      </c>
      <c r="E151" s="286"/>
      <c r="F151" s="951">
        <v>0.12089999999999999</v>
      </c>
      <c r="G151" s="951"/>
      <c r="H151" s="951"/>
      <c r="I151" s="951"/>
      <c r="J151" s="938">
        <v>0.125</v>
      </c>
      <c r="K151" s="938"/>
      <c r="L151" s="938"/>
      <c r="M151" s="938"/>
      <c r="N151" s="967">
        <v>0.12994156067377105</v>
      </c>
      <c r="O151" s="967"/>
      <c r="P151" s="967"/>
      <c r="Q151" s="960">
        <v>0.15</v>
      </c>
      <c r="R151" s="960"/>
      <c r="S151" s="960"/>
      <c r="T151" s="961">
        <v>0.1686</v>
      </c>
      <c r="U151" s="961"/>
      <c r="V151" s="961"/>
      <c r="W151" s="968">
        <v>0.18959999999999999</v>
      </c>
      <c r="X151" s="968"/>
      <c r="Y151" s="968"/>
      <c r="Z151" s="961">
        <v>0.1906792567773378</v>
      </c>
      <c r="AA151" s="961"/>
      <c r="AB151" s="961"/>
      <c r="AC151" s="964">
        <v>0.20657818811309867</v>
      </c>
      <c r="AD151" s="964"/>
      <c r="AE151" s="964"/>
      <c r="AF151" s="964">
        <v>0.22343921139101863</v>
      </c>
      <c r="AG151" s="964"/>
      <c r="AH151" s="964"/>
      <c r="AI151" s="65"/>
    </row>
    <row r="152" spans="2:35" ht="26.85" customHeight="1" x14ac:dyDescent="0.25">
      <c r="B152" s="180" t="s">
        <v>143</v>
      </c>
      <c r="C152" s="180"/>
      <c r="D152" s="286" t="s">
        <v>31</v>
      </c>
      <c r="E152" s="286"/>
      <c r="F152" s="951">
        <v>0.33069999999999999</v>
      </c>
      <c r="G152" s="951"/>
      <c r="H152" s="951"/>
      <c r="I152" s="951"/>
      <c r="J152" s="938">
        <v>0.33789999999999998</v>
      </c>
      <c r="K152" s="938"/>
      <c r="L152" s="938"/>
      <c r="M152" s="938"/>
      <c r="N152" s="959">
        <v>0.35097971811619111</v>
      </c>
      <c r="O152" s="959"/>
      <c r="P152" s="959"/>
      <c r="Q152" s="960">
        <v>0.36</v>
      </c>
      <c r="R152" s="960"/>
      <c r="S152" s="960"/>
      <c r="T152" s="961">
        <v>0.35870000000000002</v>
      </c>
      <c r="U152" s="961"/>
      <c r="V152" s="961"/>
      <c r="W152" s="961">
        <v>0.34820000000000001</v>
      </c>
      <c r="X152" s="961"/>
      <c r="Y152" s="961"/>
      <c r="Z152" s="961">
        <v>0.34297898263783128</v>
      </c>
      <c r="AA152" s="961"/>
      <c r="AB152" s="961"/>
      <c r="AC152" s="964">
        <v>0.3323716099249856</v>
      </c>
      <c r="AD152" s="964"/>
      <c r="AE152" s="964"/>
      <c r="AF152" s="964">
        <v>0.31681270536692224</v>
      </c>
      <c r="AG152" s="964"/>
      <c r="AH152" s="964"/>
      <c r="AI152" s="65"/>
    </row>
    <row r="153" spans="2:35" ht="26.85" customHeight="1" x14ac:dyDescent="0.25">
      <c r="B153" s="180" t="s">
        <v>144</v>
      </c>
      <c r="C153" s="180"/>
      <c r="D153" s="286" t="s">
        <v>31</v>
      </c>
      <c r="E153" s="286"/>
      <c r="F153" s="951">
        <v>0.31619999999999998</v>
      </c>
      <c r="G153" s="951"/>
      <c r="H153" s="951"/>
      <c r="I153" s="951"/>
      <c r="J153" s="938">
        <v>0.32119999999999999</v>
      </c>
      <c r="K153" s="938"/>
      <c r="L153" s="938"/>
      <c r="M153" s="938"/>
      <c r="N153" s="959">
        <v>0.32588518391199722</v>
      </c>
      <c r="O153" s="959"/>
      <c r="P153" s="959"/>
      <c r="Q153" s="960">
        <v>0.32</v>
      </c>
      <c r="R153" s="960"/>
      <c r="S153" s="960"/>
      <c r="T153" s="961">
        <v>0.31430000000000002</v>
      </c>
      <c r="U153" s="961"/>
      <c r="V153" s="961"/>
      <c r="W153" s="968">
        <v>0.29959999999999998</v>
      </c>
      <c r="X153" s="968"/>
      <c r="Y153" s="968"/>
      <c r="Z153" s="961">
        <v>0.28510508681084373</v>
      </c>
      <c r="AA153" s="961"/>
      <c r="AB153" s="961"/>
      <c r="AC153" s="964">
        <v>0.29226774379688403</v>
      </c>
      <c r="AD153" s="964"/>
      <c r="AE153" s="964"/>
      <c r="AF153" s="970">
        <v>0.28997809419496168</v>
      </c>
      <c r="AG153" s="970"/>
      <c r="AH153" s="970"/>
      <c r="AI153" s="65"/>
    </row>
    <row r="154" spans="2:35" ht="26.85" customHeight="1" x14ac:dyDescent="0.25">
      <c r="B154" s="180" t="s">
        <v>145</v>
      </c>
      <c r="C154" s="180"/>
      <c r="D154" s="286" t="s">
        <v>31</v>
      </c>
      <c r="E154" s="286"/>
      <c r="F154" s="951">
        <v>0.1663</v>
      </c>
      <c r="G154" s="951"/>
      <c r="H154" s="951"/>
      <c r="I154" s="951"/>
      <c r="J154" s="938">
        <v>0.15859999999999999</v>
      </c>
      <c r="K154" s="938"/>
      <c r="L154" s="938"/>
      <c r="M154" s="938"/>
      <c r="N154" s="959">
        <v>0.15675489859058095</v>
      </c>
      <c r="O154" s="959"/>
      <c r="P154" s="959"/>
      <c r="Q154" s="960">
        <v>0.15</v>
      </c>
      <c r="R154" s="960"/>
      <c r="S154" s="960"/>
      <c r="T154" s="961">
        <v>0.13719999999999999</v>
      </c>
      <c r="U154" s="961"/>
      <c r="V154" s="961"/>
      <c r="W154" s="961">
        <v>0.1389</v>
      </c>
      <c r="X154" s="961"/>
      <c r="Y154" s="961"/>
      <c r="Z154" s="961">
        <v>0.15717331708802923</v>
      </c>
      <c r="AA154" s="961"/>
      <c r="AB154" s="961"/>
      <c r="AC154" s="964">
        <v>0.14858626658972879</v>
      </c>
      <c r="AD154" s="964"/>
      <c r="AE154" s="964"/>
      <c r="AF154" s="964">
        <v>0.14375684556407448</v>
      </c>
      <c r="AG154" s="964"/>
      <c r="AH154" s="964"/>
      <c r="AI154" s="65"/>
    </row>
    <row r="155" spans="2:35" ht="26.85" customHeight="1" x14ac:dyDescent="0.25">
      <c r="B155" s="180" t="s">
        <v>146</v>
      </c>
      <c r="C155" s="180"/>
      <c r="D155" s="286" t="s">
        <v>31</v>
      </c>
      <c r="E155" s="286"/>
      <c r="F155" s="977">
        <v>2.3800000000000002E-2</v>
      </c>
      <c r="G155" s="977"/>
      <c r="H155" s="977"/>
      <c r="I155" s="977"/>
      <c r="J155" s="958">
        <v>2.0400000000000001E-2</v>
      </c>
      <c r="K155" s="958"/>
      <c r="L155" s="958"/>
      <c r="M155" s="958"/>
      <c r="N155" s="959">
        <v>1.4094190443451358E-2</v>
      </c>
      <c r="O155" s="959"/>
      <c r="P155" s="959"/>
      <c r="Q155" s="960">
        <v>0.01</v>
      </c>
      <c r="R155" s="960"/>
      <c r="S155" s="960"/>
      <c r="T155" s="961">
        <v>1.3299999999999999E-2</v>
      </c>
      <c r="U155" s="961"/>
      <c r="V155" s="961"/>
      <c r="W155" s="961">
        <v>1.21E-2</v>
      </c>
      <c r="X155" s="961"/>
      <c r="Y155" s="961"/>
      <c r="Z155" s="961">
        <v>1.1574779165397502E-2</v>
      </c>
      <c r="AA155" s="961"/>
      <c r="AB155" s="961"/>
      <c r="AC155" s="964">
        <v>8.3669936526255054E-3</v>
      </c>
      <c r="AD155" s="964"/>
      <c r="AE155" s="964"/>
      <c r="AF155" s="964">
        <v>6.2979189485213583E-3</v>
      </c>
      <c r="AG155" s="964"/>
      <c r="AH155" s="964"/>
      <c r="AI155" s="65"/>
    </row>
    <row r="156" spans="2:35" ht="50.1" customHeight="1" x14ac:dyDescent="0.2">
      <c r="B156" s="188"/>
      <c r="C156" s="188"/>
      <c r="D156" s="180"/>
      <c r="E156" s="180"/>
      <c r="F156" s="268"/>
      <c r="G156" s="268"/>
      <c r="H156" s="268"/>
      <c r="I156" s="262"/>
      <c r="J156" s="714"/>
      <c r="K156" s="714"/>
      <c r="L156" s="714"/>
      <c r="M156" s="653"/>
      <c r="N156" s="184"/>
      <c r="O156" s="184"/>
      <c r="P156" s="223"/>
      <c r="Q156" s="184"/>
      <c r="R156" s="184"/>
      <c r="S156" s="184"/>
      <c r="T156" s="184"/>
      <c r="U156" s="184"/>
      <c r="V156" s="184"/>
      <c r="W156" s="184"/>
      <c r="X156" s="184"/>
      <c r="Y156" s="184"/>
      <c r="Z156" s="184"/>
      <c r="AA156" s="184"/>
      <c r="AB156" s="184"/>
      <c r="AC156" s="184"/>
      <c r="AD156" s="184"/>
      <c r="AE156" s="184"/>
      <c r="AF156" s="184"/>
      <c r="AG156" s="184"/>
      <c r="AH156" s="184"/>
      <c r="AI156" s="65"/>
    </row>
    <row r="157" spans="2:35" ht="26.85" customHeight="1" x14ac:dyDescent="0.2">
      <c r="B157" s="6" t="s">
        <v>157</v>
      </c>
      <c r="C157" s="6"/>
      <c r="D157" s="7" t="s">
        <v>9</v>
      </c>
      <c r="E157" s="7"/>
      <c r="F157" s="930" t="s">
        <v>10</v>
      </c>
      <c r="G157" s="930"/>
      <c r="H157" s="930"/>
      <c r="I157" s="930"/>
      <c r="J157" s="930" t="s">
        <v>11</v>
      </c>
      <c r="K157" s="930"/>
      <c r="L157" s="930"/>
      <c r="M157" s="930"/>
      <c r="N157" s="920" t="s">
        <v>12</v>
      </c>
      <c r="O157" s="920"/>
      <c r="P157" s="920"/>
      <c r="Q157" s="920" t="s">
        <v>13</v>
      </c>
      <c r="R157" s="920"/>
      <c r="S157" s="920"/>
      <c r="T157" s="920" t="s">
        <v>14</v>
      </c>
      <c r="U157" s="920"/>
      <c r="V157" s="920"/>
      <c r="W157" s="920" t="s">
        <v>15</v>
      </c>
      <c r="X157" s="920"/>
      <c r="Y157" s="920"/>
      <c r="Z157" s="920" t="s">
        <v>16</v>
      </c>
      <c r="AA157" s="920"/>
      <c r="AB157" s="920"/>
      <c r="AC157" s="920" t="s">
        <v>17</v>
      </c>
      <c r="AD157" s="920"/>
      <c r="AE157" s="920"/>
      <c r="AF157" s="920" t="s">
        <v>18</v>
      </c>
      <c r="AG157" s="920"/>
      <c r="AH157" s="920"/>
      <c r="AI157" s="65"/>
    </row>
    <row r="158" spans="2:35" ht="26.85" customHeight="1" x14ac:dyDescent="0.25">
      <c r="B158" s="286" t="s">
        <v>158</v>
      </c>
      <c r="C158" s="286"/>
      <c r="D158" s="286" t="s">
        <v>31</v>
      </c>
      <c r="E158" s="286"/>
      <c r="F158" s="951">
        <v>6.4299999999999996E-2</v>
      </c>
      <c r="G158" s="951"/>
      <c r="H158" s="951"/>
      <c r="I158" s="951"/>
      <c r="J158" s="938">
        <v>8.5199999999999998E-2</v>
      </c>
      <c r="K158" s="938"/>
      <c r="L158" s="938"/>
      <c r="M158" s="938"/>
      <c r="N158" s="972">
        <v>8.4908903403231345E-2</v>
      </c>
      <c r="O158" s="972"/>
      <c r="P158" s="972"/>
      <c r="Q158" s="971">
        <v>7.0000000000000007E-2</v>
      </c>
      <c r="R158" s="971"/>
      <c r="S158" s="971"/>
      <c r="T158" s="969">
        <v>3.3700000000000001E-2</v>
      </c>
      <c r="U158" s="969"/>
      <c r="V158" s="969"/>
      <c r="W158" s="969">
        <v>4.58E-2</v>
      </c>
      <c r="X158" s="969"/>
      <c r="Y158" s="969"/>
      <c r="Z158" s="969">
        <v>2.8632348461772768E-2</v>
      </c>
      <c r="AA158" s="969"/>
      <c r="AB158" s="969"/>
      <c r="AC158" s="969">
        <v>4.241200230813618E-2</v>
      </c>
      <c r="AD158" s="969"/>
      <c r="AE158" s="969"/>
      <c r="AF158" s="969">
        <v>1.2322015334063527E-2</v>
      </c>
      <c r="AG158" s="969"/>
      <c r="AH158" s="969"/>
      <c r="AI158" s="65"/>
    </row>
    <row r="159" spans="2:35" ht="26.85" customHeight="1" x14ac:dyDescent="0.25">
      <c r="B159" s="286" t="s">
        <v>159</v>
      </c>
      <c r="C159" s="286"/>
      <c r="D159" s="286" t="s">
        <v>31</v>
      </c>
      <c r="E159" s="286"/>
      <c r="F159" s="951">
        <v>7.8799999999999995E-2</v>
      </c>
      <c r="G159" s="951"/>
      <c r="H159" s="951"/>
      <c r="I159" s="951"/>
      <c r="J159" s="938">
        <v>7.2700000000000001E-2</v>
      </c>
      <c r="K159" s="938"/>
      <c r="L159" s="938"/>
      <c r="M159" s="938"/>
      <c r="N159" s="969">
        <v>6.0845651426607084E-2</v>
      </c>
      <c r="O159" s="969"/>
      <c r="P159" s="969"/>
      <c r="Q159" s="971">
        <v>0.03</v>
      </c>
      <c r="R159" s="971"/>
      <c r="S159" s="971"/>
      <c r="T159" s="969">
        <v>3.9199999999999999E-2</v>
      </c>
      <c r="U159" s="969"/>
      <c r="V159" s="969"/>
      <c r="W159" s="969">
        <v>2.4500000000000001E-2</v>
      </c>
      <c r="X159" s="969"/>
      <c r="Y159" s="969"/>
      <c r="Z159" s="969">
        <v>3.9293329272007307E-2</v>
      </c>
      <c r="AA159" s="969"/>
      <c r="AB159" s="969"/>
      <c r="AC159" s="971">
        <v>1.03866128101558E-2</v>
      </c>
      <c r="AD159" s="971"/>
      <c r="AE159" s="971"/>
      <c r="AF159" s="969">
        <v>5.2026286966046003E-3</v>
      </c>
      <c r="AG159" s="969"/>
      <c r="AH159" s="969"/>
      <c r="AI159" s="65"/>
    </row>
    <row r="160" spans="2:35" ht="26.85" customHeight="1" x14ac:dyDescent="0.25">
      <c r="B160" s="286" t="s">
        <v>160</v>
      </c>
      <c r="C160" s="286"/>
      <c r="D160" s="286" t="s">
        <v>31</v>
      </c>
      <c r="E160" s="286"/>
      <c r="F160" s="951">
        <v>0.1235</v>
      </c>
      <c r="G160" s="951"/>
      <c r="H160" s="951"/>
      <c r="I160" s="951"/>
      <c r="J160" s="938">
        <v>9.2100000000000001E-2</v>
      </c>
      <c r="K160" s="938"/>
      <c r="L160" s="938"/>
      <c r="M160" s="938"/>
      <c r="N160" s="969">
        <v>6.2220694396699895E-2</v>
      </c>
      <c r="O160" s="969"/>
      <c r="P160" s="969"/>
      <c r="Q160" s="971">
        <v>0.08</v>
      </c>
      <c r="R160" s="971"/>
      <c r="S160" s="971"/>
      <c r="T160" s="969">
        <v>5.7299999999999997E-2</v>
      </c>
      <c r="U160" s="969"/>
      <c r="V160" s="969"/>
      <c r="W160" s="969">
        <v>4.9299999999999997E-2</v>
      </c>
      <c r="X160" s="969"/>
      <c r="Y160" s="969"/>
      <c r="Z160" s="969">
        <v>1.8885166006701187E-2</v>
      </c>
      <c r="AA160" s="969"/>
      <c r="AB160" s="969"/>
      <c r="AC160" s="969">
        <v>2.1927293710328911E-2</v>
      </c>
      <c r="AD160" s="969"/>
      <c r="AE160" s="969"/>
      <c r="AF160" s="969">
        <v>3.2858707557502739E-2</v>
      </c>
      <c r="AG160" s="969"/>
      <c r="AH160" s="969"/>
      <c r="AI160" s="65"/>
    </row>
    <row r="161" spans="2:35" ht="26.85" customHeight="1" x14ac:dyDescent="0.25">
      <c r="B161" s="286" t="s">
        <v>161</v>
      </c>
      <c r="C161" s="286"/>
      <c r="D161" s="286" t="s">
        <v>31</v>
      </c>
      <c r="E161" s="286"/>
      <c r="F161" s="951">
        <v>6.08E-2</v>
      </c>
      <c r="G161" s="951"/>
      <c r="H161" s="951"/>
      <c r="I161" s="951"/>
      <c r="J161" s="938">
        <v>4.4400000000000002E-2</v>
      </c>
      <c r="K161" s="938"/>
      <c r="L161" s="938"/>
      <c r="M161" s="938"/>
      <c r="N161" s="969">
        <v>4.4345135785493296E-2</v>
      </c>
      <c r="O161" s="969"/>
      <c r="P161" s="969"/>
      <c r="Q161" s="971">
        <v>0.03</v>
      </c>
      <c r="R161" s="971"/>
      <c r="S161" s="971"/>
      <c r="T161" s="969">
        <v>5.0700000000000002E-2</v>
      </c>
      <c r="U161" s="969"/>
      <c r="V161" s="969"/>
      <c r="W161" s="969">
        <v>0.1027</v>
      </c>
      <c r="X161" s="969"/>
      <c r="Y161" s="969"/>
      <c r="Z161" s="969">
        <v>0.15077672860188851</v>
      </c>
      <c r="AA161" s="969"/>
      <c r="AB161" s="969"/>
      <c r="AC161" s="969">
        <v>0.2109059434506636</v>
      </c>
      <c r="AD161" s="969"/>
      <c r="AE161" s="969"/>
      <c r="AF161" s="969">
        <v>0.27217962760131437</v>
      </c>
      <c r="AG161" s="969"/>
      <c r="AH161" s="969"/>
      <c r="AI161" s="65"/>
    </row>
    <row r="162" spans="2:35" ht="26.85" customHeight="1" x14ac:dyDescent="0.25">
      <c r="B162" s="286" t="s">
        <v>162</v>
      </c>
      <c r="C162" s="286"/>
      <c r="D162" s="286" t="s">
        <v>31</v>
      </c>
      <c r="E162" s="286"/>
      <c r="F162" s="977">
        <v>0.35770000000000002</v>
      </c>
      <c r="G162" s="977"/>
      <c r="H162" s="977"/>
      <c r="I162" s="977"/>
      <c r="J162" s="958">
        <v>0.4304</v>
      </c>
      <c r="K162" s="958"/>
      <c r="L162" s="958"/>
      <c r="M162" s="958"/>
      <c r="N162" s="969">
        <v>0.50807837744929529</v>
      </c>
      <c r="O162" s="969"/>
      <c r="P162" s="969"/>
      <c r="Q162" s="971">
        <v>0.56000000000000005</v>
      </c>
      <c r="R162" s="971"/>
      <c r="S162" s="971"/>
      <c r="T162" s="969">
        <v>0.60429999999999995</v>
      </c>
      <c r="U162" s="969"/>
      <c r="V162" s="969"/>
      <c r="W162" s="969">
        <v>0.57330000000000003</v>
      </c>
      <c r="X162" s="969"/>
      <c r="Y162" s="969"/>
      <c r="Z162" s="969">
        <v>0.55162960706670727</v>
      </c>
      <c r="AA162" s="969"/>
      <c r="AB162" s="969"/>
      <c r="AC162" s="969">
        <v>0.51269474899019041</v>
      </c>
      <c r="AD162" s="969"/>
      <c r="AE162" s="969"/>
      <c r="AF162" s="969">
        <v>0.47398685651697697</v>
      </c>
      <c r="AG162" s="969"/>
      <c r="AH162" s="969"/>
      <c r="AI162" s="65"/>
    </row>
    <row r="163" spans="2:35" ht="26.85" customHeight="1" x14ac:dyDescent="0.25">
      <c r="B163" s="286" t="s">
        <v>163</v>
      </c>
      <c r="C163" s="286"/>
      <c r="D163" s="286" t="s">
        <v>31</v>
      </c>
      <c r="E163" s="286"/>
      <c r="F163" s="951">
        <v>0.31490000000000001</v>
      </c>
      <c r="G163" s="951"/>
      <c r="H163" s="951"/>
      <c r="I163" s="951"/>
      <c r="J163" s="938">
        <v>0.27510000000000001</v>
      </c>
      <c r="K163" s="938"/>
      <c r="L163" s="938"/>
      <c r="M163" s="938"/>
      <c r="N163" s="971">
        <v>0.23960123753867307</v>
      </c>
      <c r="O163" s="971"/>
      <c r="P163" s="971"/>
      <c r="Q163" s="971">
        <v>0.23</v>
      </c>
      <c r="R163" s="971"/>
      <c r="S163" s="971"/>
      <c r="T163" s="972">
        <v>0.21490000000000001</v>
      </c>
      <c r="U163" s="972"/>
      <c r="V163" s="972"/>
      <c r="W163" s="969">
        <v>0.2044</v>
      </c>
      <c r="X163" s="969"/>
      <c r="Y163" s="969"/>
      <c r="Z163" s="969">
        <v>0.21078282059092293</v>
      </c>
      <c r="AA163" s="969"/>
      <c r="AB163" s="969"/>
      <c r="AC163" s="969">
        <v>0.20167339873052509</v>
      </c>
      <c r="AD163" s="969"/>
      <c r="AE163" s="969"/>
      <c r="AF163" s="969">
        <v>0.20345016429353779</v>
      </c>
      <c r="AG163" s="969"/>
      <c r="AH163" s="969"/>
      <c r="AI163" s="65"/>
    </row>
    <row r="164" spans="2:35" ht="50.1" customHeight="1" x14ac:dyDescent="0.2">
      <c r="B164" s="224"/>
      <c r="C164" s="224"/>
      <c r="D164" s="221"/>
      <c r="E164" s="221"/>
      <c r="F164" s="262"/>
      <c r="G164" s="262"/>
      <c r="H164" s="262"/>
      <c r="I164" s="262"/>
      <c r="J164" s="653"/>
      <c r="K164" s="653"/>
      <c r="L164" s="653"/>
      <c r="M164" s="653"/>
      <c r="N164" s="206"/>
      <c r="O164" s="205"/>
      <c r="P164" s="222"/>
      <c r="Q164" s="205"/>
      <c r="R164" s="205"/>
      <c r="S164" s="205"/>
      <c r="T164" s="205"/>
      <c r="U164" s="205"/>
      <c r="V164" s="205"/>
      <c r="W164" s="205"/>
      <c r="X164" s="205"/>
      <c r="Y164" s="205"/>
      <c r="Z164" s="205"/>
      <c r="AA164" s="205"/>
      <c r="AB164" s="205"/>
      <c r="AC164" s="205"/>
      <c r="AD164" s="205"/>
      <c r="AE164" s="205"/>
      <c r="AF164" s="205"/>
      <c r="AG164" s="205"/>
      <c r="AH164" s="205"/>
    </row>
    <row r="165" spans="2:35" ht="26.85" customHeight="1" x14ac:dyDescent="0.2">
      <c r="B165" s="6" t="s">
        <v>214</v>
      </c>
      <c r="C165" s="6"/>
      <c r="D165" s="7" t="s">
        <v>9</v>
      </c>
      <c r="E165" s="7"/>
      <c r="F165" s="930" t="s">
        <v>10</v>
      </c>
      <c r="G165" s="930"/>
      <c r="H165" s="930"/>
      <c r="I165" s="930"/>
      <c r="J165" s="930" t="s">
        <v>11</v>
      </c>
      <c r="K165" s="930"/>
      <c r="L165" s="930"/>
      <c r="M165" s="930"/>
      <c r="N165" s="920" t="s">
        <v>12</v>
      </c>
      <c r="O165" s="920"/>
      <c r="P165" s="920"/>
      <c r="Q165" s="920" t="s">
        <v>13</v>
      </c>
      <c r="R165" s="920"/>
      <c r="S165" s="920"/>
      <c r="T165" s="920" t="s">
        <v>14</v>
      </c>
      <c r="U165" s="920"/>
      <c r="V165" s="920"/>
      <c r="W165" s="920" t="s">
        <v>15</v>
      </c>
      <c r="X165" s="920"/>
      <c r="Y165" s="920"/>
      <c r="Z165" s="920" t="s">
        <v>16</v>
      </c>
      <c r="AA165" s="920"/>
      <c r="AB165" s="920"/>
      <c r="AC165" s="920" t="s">
        <v>17</v>
      </c>
      <c r="AD165" s="920"/>
      <c r="AE165" s="920"/>
      <c r="AF165" s="920" t="s">
        <v>18</v>
      </c>
      <c r="AG165" s="920"/>
      <c r="AH165" s="920"/>
    </row>
    <row r="166" spans="2:35" ht="26.85" customHeight="1" x14ac:dyDescent="0.25">
      <c r="B166" s="286" t="s">
        <v>215</v>
      </c>
      <c r="C166" s="286"/>
      <c r="D166" s="286" t="s">
        <v>31</v>
      </c>
      <c r="E166" s="286"/>
      <c r="F166" s="951">
        <v>0.91639999999999999</v>
      </c>
      <c r="G166" s="951"/>
      <c r="H166" s="951"/>
      <c r="I166" s="951"/>
      <c r="J166" s="938">
        <v>0.91610000000000003</v>
      </c>
      <c r="K166" s="938"/>
      <c r="L166" s="938"/>
      <c r="M166" s="938"/>
      <c r="N166" s="963">
        <v>0.92300000000000004</v>
      </c>
      <c r="O166" s="963"/>
      <c r="P166" s="963"/>
      <c r="Q166" s="973">
        <v>0.92</v>
      </c>
      <c r="R166" s="973"/>
      <c r="S166" s="973"/>
      <c r="T166" s="963">
        <v>0.92859999999999998</v>
      </c>
      <c r="U166" s="963"/>
      <c r="V166" s="963"/>
      <c r="W166" s="963">
        <v>0.93899999999999995</v>
      </c>
      <c r="X166" s="963"/>
      <c r="Y166" s="963"/>
      <c r="Z166" s="963">
        <v>0.95065488882120008</v>
      </c>
      <c r="AA166" s="963"/>
      <c r="AB166" s="963"/>
      <c r="AC166" s="963">
        <v>0.95614541257934216</v>
      </c>
      <c r="AD166" s="963"/>
      <c r="AE166" s="963"/>
      <c r="AF166" s="963">
        <v>0.92634173055859803</v>
      </c>
      <c r="AG166" s="963"/>
      <c r="AH166" s="963"/>
    </row>
    <row r="167" spans="2:35" ht="26.85" customHeight="1" x14ac:dyDescent="0.25">
      <c r="B167" s="180" t="s">
        <v>216</v>
      </c>
      <c r="C167" s="180"/>
      <c r="D167" s="286" t="s">
        <v>31</v>
      </c>
      <c r="E167" s="286"/>
      <c r="F167" s="951">
        <v>8.3599999999999994E-2</v>
      </c>
      <c r="G167" s="951"/>
      <c r="H167" s="951"/>
      <c r="I167" s="951"/>
      <c r="J167" s="938">
        <v>8.3900000000000002E-2</v>
      </c>
      <c r="K167" s="938"/>
      <c r="L167" s="938"/>
      <c r="M167" s="938"/>
      <c r="N167" s="963">
        <v>7.6999999999999999E-2</v>
      </c>
      <c r="O167" s="963"/>
      <c r="P167" s="963"/>
      <c r="Q167" s="973">
        <v>0.08</v>
      </c>
      <c r="R167" s="973"/>
      <c r="S167" s="973"/>
      <c r="T167" s="963">
        <v>7.1400000000000005E-2</v>
      </c>
      <c r="U167" s="963"/>
      <c r="V167" s="963"/>
      <c r="W167" s="963">
        <v>6.0999999999999999E-2</v>
      </c>
      <c r="X167" s="963"/>
      <c r="Y167" s="963"/>
      <c r="Z167" s="963">
        <v>4.9345111178799875E-2</v>
      </c>
      <c r="AA167" s="963"/>
      <c r="AB167" s="963"/>
      <c r="AC167" s="963">
        <v>4.3854587420657822E-2</v>
      </c>
      <c r="AD167" s="963"/>
      <c r="AE167" s="963"/>
      <c r="AF167" s="963">
        <v>7.3658269441401969E-2</v>
      </c>
      <c r="AG167" s="963"/>
      <c r="AH167" s="963"/>
    </row>
    <row r="168" spans="2:35" ht="50.1" customHeight="1" x14ac:dyDescent="0.2">
      <c r="B168" s="221"/>
      <c r="C168" s="221"/>
      <c r="D168" s="221"/>
      <c r="E168" s="221"/>
      <c r="F168" s="262"/>
      <c r="G168" s="262"/>
      <c r="H168" s="262"/>
      <c r="I168" s="262"/>
      <c r="J168" s="653"/>
      <c r="K168" s="653"/>
      <c r="L168" s="653"/>
      <c r="M168" s="653"/>
      <c r="N168" s="185"/>
      <c r="O168" s="207"/>
      <c r="P168" s="217"/>
      <c r="Q168" s="207"/>
      <c r="R168" s="207"/>
      <c r="S168" s="207"/>
      <c r="T168" s="207"/>
      <c r="U168" s="207"/>
      <c r="V168" s="207"/>
      <c r="W168" s="207"/>
      <c r="X168" s="207"/>
      <c r="Y168" s="207"/>
      <c r="Z168" s="207"/>
      <c r="AA168" s="207"/>
      <c r="AB168" s="207"/>
      <c r="AC168" s="207"/>
      <c r="AD168" s="207"/>
      <c r="AE168" s="207"/>
      <c r="AF168" s="207"/>
      <c r="AG168" s="207"/>
      <c r="AH168" s="207"/>
    </row>
    <row r="169" spans="2:35" ht="26.85" customHeight="1" x14ac:dyDescent="0.2">
      <c r="B169" s="6" t="s">
        <v>165</v>
      </c>
      <c r="C169" s="6"/>
      <c r="D169" s="7" t="s">
        <v>9</v>
      </c>
      <c r="E169" s="7"/>
      <c r="F169" s="930" t="s">
        <v>10</v>
      </c>
      <c r="G169" s="930"/>
      <c r="H169" s="930"/>
      <c r="I169" s="930"/>
      <c r="J169" s="930" t="s">
        <v>11</v>
      </c>
      <c r="K169" s="930"/>
      <c r="L169" s="930"/>
      <c r="M169" s="930"/>
      <c r="N169" s="920" t="s">
        <v>12</v>
      </c>
      <c r="O169" s="920"/>
      <c r="P169" s="920"/>
      <c r="Q169" s="920" t="s">
        <v>13</v>
      </c>
      <c r="R169" s="920"/>
      <c r="S169" s="920"/>
      <c r="T169" s="920" t="s">
        <v>14</v>
      </c>
      <c r="U169" s="920"/>
      <c r="V169" s="920"/>
      <c r="W169" s="920" t="s">
        <v>15</v>
      </c>
      <c r="X169" s="920"/>
      <c r="Y169" s="920"/>
      <c r="Z169" s="920" t="s">
        <v>16</v>
      </c>
      <c r="AA169" s="920"/>
      <c r="AB169" s="920"/>
      <c r="AC169" s="920" t="s">
        <v>17</v>
      </c>
      <c r="AD169" s="920"/>
      <c r="AE169" s="920"/>
      <c r="AF169" s="920" t="s">
        <v>18</v>
      </c>
      <c r="AG169" s="920"/>
      <c r="AH169" s="920"/>
    </row>
    <row r="170" spans="2:35" ht="26.85" customHeight="1" x14ac:dyDescent="0.25">
      <c r="B170" s="255" t="s">
        <v>166</v>
      </c>
      <c r="C170" s="255"/>
      <c r="D170" s="286" t="s">
        <v>25</v>
      </c>
      <c r="E170" s="286"/>
      <c r="F170" s="950">
        <v>80</v>
      </c>
      <c r="G170" s="950"/>
      <c r="H170" s="950"/>
      <c r="I170" s="950"/>
      <c r="J170" s="939">
        <v>64</v>
      </c>
      <c r="K170" s="939" t="s">
        <v>23</v>
      </c>
      <c r="L170" s="939"/>
      <c r="M170" s="939"/>
      <c r="N170" s="918">
        <v>51</v>
      </c>
      <c r="O170" s="918"/>
      <c r="P170" s="918"/>
      <c r="Q170" s="918">
        <v>42</v>
      </c>
      <c r="R170" s="918"/>
      <c r="S170" s="918"/>
      <c r="T170" s="918">
        <v>45</v>
      </c>
      <c r="U170" s="918"/>
      <c r="V170" s="918"/>
      <c r="W170" s="918">
        <v>50</v>
      </c>
      <c r="X170" s="918"/>
      <c r="Y170" s="918"/>
      <c r="Z170" s="918">
        <v>61</v>
      </c>
      <c r="AA170" s="918"/>
      <c r="AB170" s="918"/>
      <c r="AC170" s="918">
        <v>24</v>
      </c>
      <c r="AD170" s="918"/>
      <c r="AE170" s="918"/>
      <c r="AF170" s="918">
        <v>30</v>
      </c>
      <c r="AG170" s="918"/>
      <c r="AH170" s="918"/>
    </row>
    <row r="171" spans="2:35" ht="50.1" customHeight="1" x14ac:dyDescent="0.2">
      <c r="B171" s="221"/>
      <c r="C171" s="221"/>
      <c r="D171" s="221"/>
      <c r="E171" s="221"/>
      <c r="F171" s="262"/>
      <c r="G171" s="262"/>
      <c r="H171" s="262"/>
      <c r="I171" s="262"/>
      <c r="J171" s="653"/>
      <c r="K171" s="653"/>
      <c r="L171" s="653"/>
      <c r="M171" s="653"/>
      <c r="N171" s="185"/>
      <c r="O171" s="207"/>
      <c r="P171" s="217"/>
      <c r="Q171" s="207"/>
      <c r="R171" s="207"/>
      <c r="S171" s="207"/>
      <c r="T171" s="207"/>
      <c r="U171" s="207"/>
      <c r="V171" s="207"/>
      <c r="W171" s="207"/>
      <c r="X171" s="207"/>
      <c r="Y171" s="207"/>
      <c r="Z171" s="207"/>
      <c r="AA171" s="207"/>
      <c r="AB171" s="207"/>
      <c r="AC171" s="207"/>
      <c r="AD171" s="207"/>
      <c r="AE171" s="207"/>
      <c r="AF171" s="207"/>
      <c r="AG171" s="207"/>
      <c r="AH171" s="207"/>
    </row>
    <row r="172" spans="2:35" ht="26.85" customHeight="1" x14ac:dyDescent="0.2">
      <c r="B172" s="6" t="s">
        <v>167</v>
      </c>
      <c r="C172" s="6"/>
      <c r="D172" s="7" t="s">
        <v>9</v>
      </c>
      <c r="E172" s="7"/>
      <c r="F172" s="930" t="s">
        <v>10</v>
      </c>
      <c r="G172" s="930"/>
      <c r="H172" s="930"/>
      <c r="I172" s="930"/>
      <c r="J172" s="930" t="s">
        <v>11</v>
      </c>
      <c r="K172" s="930"/>
      <c r="L172" s="930"/>
      <c r="M172" s="930"/>
      <c r="N172" s="920" t="s">
        <v>12</v>
      </c>
      <c r="O172" s="920"/>
      <c r="P172" s="920"/>
      <c r="Q172" s="920" t="s">
        <v>13</v>
      </c>
      <c r="R172" s="920"/>
      <c r="S172" s="920"/>
      <c r="T172" s="920" t="s">
        <v>14</v>
      </c>
      <c r="U172" s="920"/>
      <c r="V172" s="920"/>
      <c r="W172" s="920" t="s">
        <v>15</v>
      </c>
      <c r="X172" s="920"/>
      <c r="Y172" s="920"/>
      <c r="Z172" s="920" t="s">
        <v>16</v>
      </c>
      <c r="AA172" s="920"/>
      <c r="AB172" s="920"/>
      <c r="AC172" s="920" t="s">
        <v>17</v>
      </c>
      <c r="AD172" s="920"/>
      <c r="AE172" s="920"/>
      <c r="AF172" s="920" t="s">
        <v>18</v>
      </c>
      <c r="AG172" s="920"/>
      <c r="AH172" s="920"/>
    </row>
    <row r="173" spans="2:35" ht="26.85" customHeight="1" x14ac:dyDescent="0.25">
      <c r="B173" s="255" t="s">
        <v>168</v>
      </c>
      <c r="C173" s="255"/>
      <c r="D173" s="286" t="s">
        <v>25</v>
      </c>
      <c r="E173" s="286"/>
      <c r="F173" s="950">
        <v>31</v>
      </c>
      <c r="G173" s="950"/>
      <c r="H173" s="950"/>
      <c r="I173" s="950"/>
      <c r="J173" s="939">
        <v>28</v>
      </c>
      <c r="K173" s="939" t="s">
        <v>23</v>
      </c>
      <c r="L173" s="939"/>
      <c r="M173" s="939"/>
      <c r="N173" s="918">
        <v>25</v>
      </c>
      <c r="O173" s="918"/>
      <c r="P173" s="918"/>
      <c r="Q173" s="918">
        <v>25</v>
      </c>
      <c r="R173" s="918"/>
      <c r="S173" s="918"/>
      <c r="T173" s="918">
        <v>27</v>
      </c>
      <c r="U173" s="918"/>
      <c r="V173" s="918"/>
      <c r="W173" s="918">
        <v>35</v>
      </c>
      <c r="X173" s="918"/>
      <c r="Y173" s="918"/>
      <c r="Z173" s="918">
        <v>41</v>
      </c>
      <c r="AA173" s="918"/>
      <c r="AB173" s="918"/>
      <c r="AC173" s="918">
        <v>47</v>
      </c>
      <c r="AD173" s="918"/>
      <c r="AE173" s="918"/>
      <c r="AF173" s="918">
        <v>53</v>
      </c>
      <c r="AG173" s="918"/>
      <c r="AH173" s="918"/>
    </row>
    <row r="174" spans="2:35" s="28" customFormat="1" ht="50.1" customHeight="1" x14ac:dyDescent="0.2">
      <c r="B174" s="42"/>
      <c r="C174" s="42"/>
      <c r="D174" s="39"/>
      <c r="E174" s="39"/>
      <c r="F174" s="508"/>
      <c r="G174" s="453"/>
      <c r="H174" s="453"/>
      <c r="I174" s="453"/>
      <c r="J174" s="338"/>
      <c r="K174" s="68"/>
      <c r="L174" s="68"/>
      <c r="M174" s="68"/>
      <c r="N174" s="12"/>
      <c r="O174" s="12"/>
      <c r="P174" s="12"/>
      <c r="Q174" s="12"/>
      <c r="R174" s="12"/>
      <c r="S174" s="12"/>
      <c r="T174" s="12"/>
      <c r="U174" s="12"/>
      <c r="V174" s="12"/>
      <c r="W174" s="12"/>
      <c r="X174" s="12"/>
      <c r="Y174" s="12"/>
      <c r="Z174" s="12"/>
      <c r="AA174" s="12"/>
      <c r="AB174" s="12"/>
      <c r="AC174" s="12"/>
      <c r="AD174" s="12"/>
      <c r="AE174" s="12"/>
      <c r="AF174" s="12"/>
      <c r="AG174" s="12"/>
      <c r="AH174" s="12"/>
      <c r="AI174" s="50"/>
    </row>
    <row r="175" spans="2:35" s="28" customFormat="1" ht="26.85" customHeight="1" x14ac:dyDescent="0.2">
      <c r="B175" s="6" t="s">
        <v>217</v>
      </c>
      <c r="C175" s="6"/>
      <c r="D175" s="7" t="s">
        <v>9</v>
      </c>
      <c r="E175" s="45"/>
      <c r="F175" s="930" t="s">
        <v>10</v>
      </c>
      <c r="G175" s="930"/>
      <c r="H175" s="930"/>
      <c r="I175" s="930"/>
      <c r="J175" s="930" t="s">
        <v>11</v>
      </c>
      <c r="K175" s="930"/>
      <c r="L175" s="930"/>
      <c r="M175" s="930"/>
      <c r="N175" s="920" t="s">
        <v>12</v>
      </c>
      <c r="O175" s="920"/>
      <c r="P175" s="920"/>
      <c r="Q175" s="920" t="s">
        <v>13</v>
      </c>
      <c r="R175" s="920"/>
      <c r="S175" s="920"/>
      <c r="T175" s="920" t="s">
        <v>14</v>
      </c>
      <c r="U175" s="920"/>
      <c r="V175" s="920"/>
      <c r="W175" s="920" t="s">
        <v>15</v>
      </c>
      <c r="X175" s="920"/>
      <c r="Y175" s="920"/>
      <c r="Z175" s="920" t="s">
        <v>16</v>
      </c>
      <c r="AA175" s="920"/>
      <c r="AB175" s="920"/>
      <c r="AC175" s="920" t="s">
        <v>17</v>
      </c>
      <c r="AD175" s="920"/>
      <c r="AE175" s="920"/>
      <c r="AF175" s="920" t="s">
        <v>18</v>
      </c>
      <c r="AG175" s="920"/>
      <c r="AH175" s="920"/>
      <c r="AI175" s="50"/>
    </row>
    <row r="176" spans="2:35" s="28" customFormat="1" ht="26.85" customHeight="1" x14ac:dyDescent="0.25">
      <c r="B176" s="193" t="s">
        <v>170</v>
      </c>
      <c r="C176" s="193"/>
      <c r="D176" s="180" t="s">
        <v>25</v>
      </c>
      <c r="E176" s="180"/>
      <c r="F176" s="978">
        <v>94</v>
      </c>
      <c r="G176" s="978"/>
      <c r="H176" s="978"/>
      <c r="I176" s="978"/>
      <c r="J176" s="974">
        <v>50</v>
      </c>
      <c r="K176" s="974"/>
      <c r="L176" s="974"/>
      <c r="M176" s="974"/>
      <c r="N176" s="919">
        <v>49</v>
      </c>
      <c r="O176" s="919"/>
      <c r="P176" s="919"/>
      <c r="Q176" s="919" t="s">
        <v>23</v>
      </c>
      <c r="R176" s="919"/>
      <c r="S176" s="919"/>
      <c r="T176" s="919" t="s">
        <v>23</v>
      </c>
      <c r="U176" s="919"/>
      <c r="V176" s="919"/>
      <c r="W176" s="919" t="s">
        <v>23</v>
      </c>
      <c r="X176" s="919"/>
      <c r="Y176" s="919"/>
      <c r="Z176" s="919" t="s">
        <v>23</v>
      </c>
      <c r="AA176" s="919"/>
      <c r="AB176" s="919"/>
      <c r="AC176" s="919" t="s">
        <v>23</v>
      </c>
      <c r="AD176" s="919"/>
      <c r="AE176" s="919"/>
      <c r="AF176" s="919" t="s">
        <v>23</v>
      </c>
      <c r="AG176" s="919"/>
      <c r="AH176" s="919"/>
      <c r="AI176" s="50"/>
    </row>
    <row r="177" spans="2:35" s="28" customFormat="1" ht="26.85" customHeight="1" x14ac:dyDescent="0.25">
      <c r="B177" s="193" t="s">
        <v>218</v>
      </c>
      <c r="C177" s="193"/>
      <c r="D177" s="180" t="s">
        <v>25</v>
      </c>
      <c r="E177" s="180"/>
      <c r="F177" s="953">
        <v>1244</v>
      </c>
      <c r="G177" s="953"/>
      <c r="H177" s="953"/>
      <c r="I177" s="953"/>
      <c r="J177" s="942">
        <v>1310</v>
      </c>
      <c r="K177" s="942"/>
      <c r="L177" s="942"/>
      <c r="M177" s="942"/>
      <c r="N177" s="943">
        <v>1308</v>
      </c>
      <c r="O177" s="919"/>
      <c r="P177" s="919"/>
      <c r="Q177" s="919" t="s">
        <v>23</v>
      </c>
      <c r="R177" s="919"/>
      <c r="S177" s="919"/>
      <c r="T177" s="919" t="s">
        <v>23</v>
      </c>
      <c r="U177" s="919"/>
      <c r="V177" s="919"/>
      <c r="W177" s="919" t="s">
        <v>23</v>
      </c>
      <c r="X177" s="919"/>
      <c r="Y177" s="919"/>
      <c r="Z177" s="919" t="s">
        <v>23</v>
      </c>
      <c r="AA177" s="919"/>
      <c r="AB177" s="919"/>
      <c r="AC177" s="919" t="s">
        <v>23</v>
      </c>
      <c r="AD177" s="919"/>
      <c r="AE177" s="919"/>
      <c r="AF177" s="919" t="s">
        <v>23</v>
      </c>
      <c r="AG177" s="919"/>
      <c r="AH177" s="919"/>
      <c r="AI177" s="50"/>
    </row>
    <row r="178" spans="2:35" s="28" customFormat="1" ht="26.85" customHeight="1" x14ac:dyDescent="0.25">
      <c r="B178" s="231" t="s">
        <v>172</v>
      </c>
      <c r="C178" s="193"/>
      <c r="D178" s="180" t="s">
        <v>25</v>
      </c>
      <c r="E178" s="180"/>
      <c r="F178" s="946">
        <f>SUM(F176:I177)</f>
        <v>1338</v>
      </c>
      <c r="G178" s="946"/>
      <c r="H178" s="946"/>
      <c r="I178" s="946"/>
      <c r="J178" s="941">
        <f>SUM(J176:M177)</f>
        <v>1360</v>
      </c>
      <c r="K178" s="941"/>
      <c r="L178" s="941"/>
      <c r="M178" s="941"/>
      <c r="N178" s="943">
        <f>SUM(N176:N177)</f>
        <v>1357</v>
      </c>
      <c r="O178" s="919"/>
      <c r="P178" s="919"/>
      <c r="Q178" s="919" t="s">
        <v>23</v>
      </c>
      <c r="R178" s="919"/>
      <c r="S178" s="919"/>
      <c r="T178" s="919" t="s">
        <v>23</v>
      </c>
      <c r="U178" s="919"/>
      <c r="V178" s="919"/>
      <c r="W178" s="919" t="s">
        <v>23</v>
      </c>
      <c r="X178" s="919"/>
      <c r="Y178" s="919"/>
      <c r="Z178" s="919" t="s">
        <v>23</v>
      </c>
      <c r="AA178" s="919"/>
      <c r="AB178" s="919"/>
      <c r="AC178" s="919" t="s">
        <v>23</v>
      </c>
      <c r="AD178" s="919"/>
      <c r="AE178" s="919"/>
      <c r="AF178" s="919" t="s">
        <v>23</v>
      </c>
      <c r="AG178" s="919"/>
      <c r="AH178" s="919"/>
      <c r="AI178" s="50"/>
    </row>
    <row r="179" spans="2:35" s="28" customFormat="1" ht="26.85" customHeight="1" x14ac:dyDescent="0.25">
      <c r="B179" s="193" t="s">
        <v>173</v>
      </c>
      <c r="C179" s="193"/>
      <c r="D179" s="180" t="s">
        <v>25</v>
      </c>
      <c r="E179" s="180"/>
      <c r="F179" s="978">
        <v>94</v>
      </c>
      <c r="G179" s="978"/>
      <c r="H179" s="978"/>
      <c r="I179" s="978"/>
      <c r="J179" s="974">
        <v>50</v>
      </c>
      <c r="K179" s="974"/>
      <c r="L179" s="974"/>
      <c r="M179" s="974"/>
      <c r="N179" s="919">
        <v>49</v>
      </c>
      <c r="O179" s="919"/>
      <c r="P179" s="919"/>
      <c r="Q179" s="919" t="s">
        <v>23</v>
      </c>
      <c r="R179" s="919"/>
      <c r="S179" s="919"/>
      <c r="T179" s="919" t="s">
        <v>23</v>
      </c>
      <c r="U179" s="919"/>
      <c r="V179" s="919"/>
      <c r="W179" s="919" t="s">
        <v>23</v>
      </c>
      <c r="X179" s="919"/>
      <c r="Y179" s="919"/>
      <c r="Z179" s="919" t="s">
        <v>23</v>
      </c>
      <c r="AA179" s="919"/>
      <c r="AB179" s="919"/>
      <c r="AC179" s="919" t="s">
        <v>23</v>
      </c>
      <c r="AD179" s="919"/>
      <c r="AE179" s="919"/>
      <c r="AF179" s="919" t="s">
        <v>23</v>
      </c>
      <c r="AG179" s="919"/>
      <c r="AH179" s="919"/>
      <c r="AI179" s="50"/>
    </row>
    <row r="180" spans="2:35" s="28" customFormat="1" ht="26.85" customHeight="1" x14ac:dyDescent="0.25">
      <c r="B180" s="193" t="s">
        <v>174</v>
      </c>
      <c r="C180" s="193"/>
      <c r="D180" s="180" t="s">
        <v>25</v>
      </c>
      <c r="E180" s="180"/>
      <c r="F180" s="978" t="s">
        <v>219</v>
      </c>
      <c r="G180" s="978"/>
      <c r="H180" s="978"/>
      <c r="I180" s="978"/>
      <c r="J180" s="974" t="s">
        <v>219</v>
      </c>
      <c r="K180" s="974"/>
      <c r="L180" s="974"/>
      <c r="M180" s="974"/>
      <c r="N180" s="919" t="s">
        <v>219</v>
      </c>
      <c r="O180" s="919"/>
      <c r="P180" s="919"/>
      <c r="Q180" s="919" t="s">
        <v>23</v>
      </c>
      <c r="R180" s="919"/>
      <c r="S180" s="919"/>
      <c r="T180" s="919" t="s">
        <v>23</v>
      </c>
      <c r="U180" s="919"/>
      <c r="V180" s="919"/>
      <c r="W180" s="919" t="s">
        <v>23</v>
      </c>
      <c r="X180" s="919"/>
      <c r="Y180" s="919"/>
      <c r="Z180" s="919" t="s">
        <v>23</v>
      </c>
      <c r="AA180" s="919"/>
      <c r="AB180" s="919"/>
      <c r="AC180" s="919" t="s">
        <v>23</v>
      </c>
      <c r="AD180" s="919"/>
      <c r="AE180" s="919"/>
      <c r="AF180" s="919" t="s">
        <v>23</v>
      </c>
      <c r="AG180" s="919"/>
      <c r="AH180" s="919"/>
      <c r="AI180" s="50"/>
    </row>
    <row r="181" spans="2:35" s="28" customFormat="1" ht="26.85" customHeight="1" x14ac:dyDescent="0.25">
      <c r="B181" s="231" t="s">
        <v>175</v>
      </c>
      <c r="C181" s="193"/>
      <c r="D181" s="180" t="s">
        <v>25</v>
      </c>
      <c r="E181" s="180"/>
      <c r="F181" s="950">
        <v>94</v>
      </c>
      <c r="G181" s="950"/>
      <c r="H181" s="950"/>
      <c r="I181" s="950"/>
      <c r="J181" s="939">
        <f>SUM(J179:M180)</f>
        <v>50</v>
      </c>
      <c r="K181" s="939"/>
      <c r="L181" s="939"/>
      <c r="M181" s="939"/>
      <c r="N181" s="919">
        <v>49</v>
      </c>
      <c r="O181" s="919"/>
      <c r="P181" s="919"/>
      <c r="Q181" s="919" t="s">
        <v>23</v>
      </c>
      <c r="R181" s="919"/>
      <c r="S181" s="919"/>
      <c r="T181" s="919" t="s">
        <v>23</v>
      </c>
      <c r="U181" s="919"/>
      <c r="V181" s="919"/>
      <c r="W181" s="919" t="s">
        <v>23</v>
      </c>
      <c r="X181" s="919"/>
      <c r="Y181" s="919"/>
      <c r="Z181" s="919" t="s">
        <v>23</v>
      </c>
      <c r="AA181" s="919"/>
      <c r="AB181" s="919"/>
      <c r="AC181" s="919" t="s">
        <v>23</v>
      </c>
      <c r="AD181" s="919"/>
      <c r="AE181" s="919"/>
      <c r="AF181" s="919" t="s">
        <v>23</v>
      </c>
      <c r="AG181" s="919"/>
      <c r="AH181" s="919"/>
      <c r="AI181" s="50"/>
    </row>
    <row r="182" spans="2:35" ht="26.85" customHeight="1" x14ac:dyDescent="0.2">
      <c r="B182" s="524" t="s">
        <v>220</v>
      </c>
      <c r="C182" s="28"/>
      <c r="F182" s="453"/>
      <c r="G182" s="453"/>
      <c r="H182" s="453"/>
      <c r="I182" s="453"/>
      <c r="J182" s="68"/>
      <c r="K182" s="68"/>
      <c r="L182" s="68"/>
      <c r="M182" s="68"/>
      <c r="Q182" s="36"/>
    </row>
    <row r="183" spans="2:35" ht="50.1" customHeight="1" x14ac:dyDescent="0.2">
      <c r="B183" s="509"/>
      <c r="C183" s="28"/>
      <c r="F183" s="453"/>
      <c r="G183" s="453"/>
      <c r="H183" s="453"/>
      <c r="I183" s="453"/>
      <c r="J183" s="68"/>
      <c r="K183" s="68"/>
      <c r="L183" s="68"/>
      <c r="M183" s="68"/>
      <c r="Q183" s="36"/>
    </row>
    <row r="184" spans="2:35" ht="26.85" customHeight="1" x14ac:dyDescent="0.2">
      <c r="B184" s="6" t="s">
        <v>221</v>
      </c>
      <c r="C184" s="6"/>
      <c r="D184" s="7" t="s">
        <v>9</v>
      </c>
      <c r="E184" s="45"/>
      <c r="F184" s="930" t="s">
        <v>10</v>
      </c>
      <c r="G184" s="930"/>
      <c r="H184" s="930"/>
      <c r="I184" s="930"/>
      <c r="J184" s="930" t="s">
        <v>11</v>
      </c>
      <c r="K184" s="930"/>
      <c r="L184" s="930"/>
      <c r="M184" s="930"/>
      <c r="N184" s="920" t="s">
        <v>12</v>
      </c>
      <c r="O184" s="920"/>
      <c r="P184" s="920"/>
      <c r="Q184" s="920" t="s">
        <v>13</v>
      </c>
      <c r="R184" s="920"/>
      <c r="S184" s="920"/>
      <c r="T184" s="920" t="s">
        <v>14</v>
      </c>
      <c r="U184" s="920"/>
      <c r="V184" s="920"/>
      <c r="W184" s="920" t="s">
        <v>15</v>
      </c>
      <c r="X184" s="920"/>
      <c r="Y184" s="920"/>
      <c r="Z184" s="920" t="s">
        <v>16</v>
      </c>
      <c r="AA184" s="920"/>
      <c r="AB184" s="920"/>
      <c r="AC184" s="920" t="s">
        <v>17</v>
      </c>
      <c r="AD184" s="920"/>
      <c r="AE184" s="920"/>
      <c r="AF184" s="920" t="s">
        <v>18</v>
      </c>
      <c r="AG184" s="920"/>
      <c r="AH184" s="920"/>
    </row>
    <row r="185" spans="2:35" ht="26.85" customHeight="1" x14ac:dyDescent="0.25">
      <c r="B185" s="193" t="s">
        <v>222</v>
      </c>
      <c r="C185" s="188"/>
      <c r="D185" s="210" t="s">
        <v>31</v>
      </c>
      <c r="E185" s="210"/>
      <c r="F185" s="948">
        <v>2.3E-2</v>
      </c>
      <c r="G185" s="979"/>
      <c r="H185" s="979"/>
      <c r="I185" s="979"/>
      <c r="J185" s="924">
        <v>2.3E-2</v>
      </c>
      <c r="K185" s="975"/>
      <c r="L185" s="975"/>
      <c r="M185" s="975"/>
      <c r="N185" s="926" t="s">
        <v>23</v>
      </c>
      <c r="O185" s="926"/>
      <c r="P185" s="926"/>
      <c r="Q185" s="926" t="s">
        <v>23</v>
      </c>
      <c r="R185" s="926"/>
      <c r="S185" s="926"/>
      <c r="T185" s="926" t="s">
        <v>23</v>
      </c>
      <c r="U185" s="926"/>
      <c r="V185" s="926"/>
      <c r="W185" s="926" t="s">
        <v>23</v>
      </c>
      <c r="X185" s="926"/>
      <c r="Y185" s="926"/>
      <c r="Z185" s="926" t="s">
        <v>23</v>
      </c>
      <c r="AA185" s="926"/>
      <c r="AB185" s="926"/>
      <c r="AC185" s="926" t="s">
        <v>23</v>
      </c>
      <c r="AD185" s="926"/>
      <c r="AE185" s="926"/>
      <c r="AF185" s="926" t="s">
        <v>23</v>
      </c>
      <c r="AG185" s="926"/>
      <c r="AH185" s="926"/>
    </row>
    <row r="186" spans="2:35" ht="26.85" customHeight="1" x14ac:dyDescent="0.25">
      <c r="B186" s="193" t="s">
        <v>223</v>
      </c>
      <c r="C186" s="188"/>
      <c r="D186" s="180" t="s">
        <v>31</v>
      </c>
      <c r="E186" s="180"/>
      <c r="F186" s="948">
        <v>0.152</v>
      </c>
      <c r="G186" s="979"/>
      <c r="H186" s="979"/>
      <c r="I186" s="979"/>
      <c r="J186" s="924">
        <v>0.17599999999999999</v>
      </c>
      <c r="K186" s="975"/>
      <c r="L186" s="975"/>
      <c r="M186" s="975"/>
      <c r="N186" s="926" t="s">
        <v>23</v>
      </c>
      <c r="O186" s="926"/>
      <c r="P186" s="926"/>
      <c r="Q186" s="926" t="s">
        <v>23</v>
      </c>
      <c r="R186" s="926"/>
      <c r="S186" s="926"/>
      <c r="T186" s="926" t="s">
        <v>23</v>
      </c>
      <c r="U186" s="926"/>
      <c r="V186" s="926"/>
      <c r="W186" s="926" t="s">
        <v>23</v>
      </c>
      <c r="X186" s="926"/>
      <c r="Y186" s="926"/>
      <c r="Z186" s="926" t="s">
        <v>23</v>
      </c>
      <c r="AA186" s="926"/>
      <c r="AB186" s="926"/>
      <c r="AC186" s="926" t="s">
        <v>23</v>
      </c>
      <c r="AD186" s="926"/>
      <c r="AE186" s="926"/>
      <c r="AF186" s="926" t="s">
        <v>23</v>
      </c>
      <c r="AG186" s="926"/>
      <c r="AH186" s="926"/>
    </row>
    <row r="187" spans="2:35" ht="15.6" customHeight="1" x14ac:dyDescent="0.2">
      <c r="B187" s="285"/>
      <c r="C187" s="285"/>
      <c r="D187" s="10"/>
      <c r="E187" s="10"/>
      <c r="F187" s="332"/>
      <c r="G187" s="332"/>
      <c r="H187" s="332"/>
      <c r="I187" s="332"/>
      <c r="J187" s="449"/>
      <c r="K187" s="449"/>
      <c r="L187" s="449"/>
      <c r="M187" s="449"/>
      <c r="N187" s="11"/>
      <c r="O187" s="11"/>
      <c r="P187" s="11"/>
      <c r="Q187" s="11"/>
      <c r="R187" s="11"/>
      <c r="S187" s="11"/>
      <c r="T187" s="11"/>
      <c r="U187" s="11"/>
      <c r="V187" s="11"/>
      <c r="W187" s="11"/>
      <c r="X187" s="11"/>
      <c r="Y187" s="11"/>
      <c r="Z187" s="11"/>
      <c r="AA187" s="11"/>
      <c r="AB187" s="11"/>
      <c r="AC187" s="11"/>
      <c r="AD187" s="11"/>
      <c r="AE187" s="11"/>
      <c r="AF187" s="11"/>
      <c r="AG187" s="11"/>
      <c r="AH187" s="11"/>
    </row>
    <row r="188" spans="2:35" ht="14.25" customHeight="1" x14ac:dyDescent="0.2">
      <c r="B188" s="28"/>
      <c r="C188" s="28"/>
      <c r="F188" s="29"/>
      <c r="G188" s="29"/>
      <c r="H188" s="29"/>
      <c r="I188" s="29"/>
      <c r="J188" s="29"/>
      <c r="K188" s="29"/>
      <c r="L188" s="29"/>
      <c r="M188" s="29"/>
      <c r="Q188" s="36"/>
    </row>
    <row r="189" spans="2:35" ht="71.099999999999994" customHeight="1" x14ac:dyDescent="0.2">
      <c r="B189" s="957" t="s">
        <v>224</v>
      </c>
      <c r="C189" s="957"/>
      <c r="D189" s="957"/>
      <c r="E189" s="957"/>
      <c r="F189" s="957"/>
      <c r="G189" s="957"/>
      <c r="H189" s="957"/>
      <c r="I189" s="957"/>
      <c r="J189" s="957"/>
      <c r="K189" s="957"/>
      <c r="L189" s="957"/>
      <c r="M189" s="957"/>
      <c r="N189" s="957"/>
      <c r="O189" s="957"/>
      <c r="P189" s="957"/>
      <c r="Q189" s="957"/>
      <c r="R189" s="957"/>
      <c r="S189" s="957"/>
      <c r="T189" s="957"/>
      <c r="U189" s="957"/>
      <c r="V189" s="957"/>
      <c r="W189" s="957"/>
      <c r="X189" s="957"/>
      <c r="Y189" s="957"/>
      <c r="Z189" s="957"/>
      <c r="AA189" s="957"/>
      <c r="AB189" s="957"/>
      <c r="AC189" s="957"/>
      <c r="AD189" s="957"/>
      <c r="AE189" s="957"/>
      <c r="AF189" s="957"/>
      <c r="AG189" s="957"/>
      <c r="AH189" s="957"/>
    </row>
    <row r="193" spans="2:3" x14ac:dyDescent="0.2">
      <c r="B193" s="88"/>
      <c r="C193" s="88"/>
    </row>
  </sheetData>
  <sheetProtection algorithmName="SHA-512" hashValue="Sg6paMpnIUC88Ff64hHFQD1J1yOGn/kHiv0ceVzHOlG5i/cJUXPJMjvKWg/Yf0HS3g9PPR17FTnDkZTkYbJX5w==" saltValue="nb3WSAmS2a8IZjXbm+hM9g==" spinCount="100000" sheet="1" formatCells="0" formatColumns="0" formatRows="0" insertColumns="0" insertRows="0" insertHyperlinks="0" deleteColumns="0" deleteRows="0" sort="0" autoFilter="0" pivotTables="0"/>
  <mergeCells count="654">
    <mergeCell ref="F176:I176"/>
    <mergeCell ref="F177:I177"/>
    <mergeCell ref="F178:I178"/>
    <mergeCell ref="F179:I179"/>
    <mergeCell ref="F180:I180"/>
    <mergeCell ref="F181:I181"/>
    <mergeCell ref="F184:I184"/>
    <mergeCell ref="F185:I185"/>
    <mergeCell ref="F186:I186"/>
    <mergeCell ref="F163:I163"/>
    <mergeCell ref="F165:I165"/>
    <mergeCell ref="F166:I166"/>
    <mergeCell ref="F167:I167"/>
    <mergeCell ref="F169:I169"/>
    <mergeCell ref="F170:I170"/>
    <mergeCell ref="F172:I172"/>
    <mergeCell ref="F173:I173"/>
    <mergeCell ref="F175:I175"/>
    <mergeCell ref="F153:I153"/>
    <mergeCell ref="F154:I154"/>
    <mergeCell ref="F155:I155"/>
    <mergeCell ref="F157:I157"/>
    <mergeCell ref="F158:I158"/>
    <mergeCell ref="F159:I159"/>
    <mergeCell ref="F160:I160"/>
    <mergeCell ref="F161:I161"/>
    <mergeCell ref="F162:I162"/>
    <mergeCell ref="F75:I75"/>
    <mergeCell ref="F97:I97"/>
    <mergeCell ref="F114:I114"/>
    <mergeCell ref="F132:I132"/>
    <mergeCell ref="F141:I141"/>
    <mergeCell ref="F149:I149"/>
    <mergeCell ref="F150:I150"/>
    <mergeCell ref="F151:I151"/>
    <mergeCell ref="F152:I152"/>
    <mergeCell ref="F41:I41"/>
    <mergeCell ref="F58:I58"/>
    <mergeCell ref="F63:I63"/>
    <mergeCell ref="B7:P7"/>
    <mergeCell ref="J36:M36"/>
    <mergeCell ref="N36:P36"/>
    <mergeCell ref="J63:M63"/>
    <mergeCell ref="N63:P63"/>
    <mergeCell ref="J58:M58"/>
    <mergeCell ref="N58:P58"/>
    <mergeCell ref="J9:M9"/>
    <mergeCell ref="J15:M15"/>
    <mergeCell ref="N15:P15"/>
    <mergeCell ref="F4:I4"/>
    <mergeCell ref="F5:I5"/>
    <mergeCell ref="F6:I6"/>
    <mergeCell ref="F9:I9"/>
    <mergeCell ref="F15:I15"/>
    <mergeCell ref="F36:I36"/>
    <mergeCell ref="J165:M165"/>
    <mergeCell ref="N165:P165"/>
    <mergeCell ref="Q165:S165"/>
    <mergeCell ref="J97:M97"/>
    <mergeCell ref="N97:P97"/>
    <mergeCell ref="Q97:S97"/>
    <mergeCell ref="N129:P129"/>
    <mergeCell ref="J114:M114"/>
    <mergeCell ref="N114:P114"/>
    <mergeCell ref="Q63:S63"/>
    <mergeCell ref="Q58:S58"/>
    <mergeCell ref="N127:P127"/>
    <mergeCell ref="N121:P121"/>
    <mergeCell ref="Q121:S121"/>
    <mergeCell ref="Q116:S116"/>
    <mergeCell ref="N136:P136"/>
    <mergeCell ref="Q136:S136"/>
    <mergeCell ref="N108:P108"/>
    <mergeCell ref="T165:V165"/>
    <mergeCell ref="W165:Y165"/>
    <mergeCell ref="Z165:AB165"/>
    <mergeCell ref="AC165:AE165"/>
    <mergeCell ref="AF165:AH165"/>
    <mergeCell ref="J132:M132"/>
    <mergeCell ref="N132:P132"/>
    <mergeCell ref="Q132:S132"/>
    <mergeCell ref="T132:V132"/>
    <mergeCell ref="W132:Y132"/>
    <mergeCell ref="Z132:AB132"/>
    <mergeCell ref="AC132:AE132"/>
    <mergeCell ref="AF132:AH132"/>
    <mergeCell ref="J141:M141"/>
    <mergeCell ref="N141:P141"/>
    <mergeCell ref="Q141:S141"/>
    <mergeCell ref="T141:V141"/>
    <mergeCell ref="W141:Y141"/>
    <mergeCell ref="Z141:AB141"/>
    <mergeCell ref="AC141:AE141"/>
    <mergeCell ref="AF141:AH141"/>
    <mergeCell ref="AF133:AH133"/>
    <mergeCell ref="AF134:AH134"/>
    <mergeCell ref="Q133:S133"/>
    <mergeCell ref="J169:M169"/>
    <mergeCell ref="N169:P169"/>
    <mergeCell ref="Q169:S169"/>
    <mergeCell ref="T169:V169"/>
    <mergeCell ref="W169:Y169"/>
    <mergeCell ref="Z169:AB169"/>
    <mergeCell ref="AC169:AE169"/>
    <mergeCell ref="AF169:AH169"/>
    <mergeCell ref="J149:M149"/>
    <mergeCell ref="N149:P149"/>
    <mergeCell ref="Q149:S149"/>
    <mergeCell ref="T149:V149"/>
    <mergeCell ref="W149:Y149"/>
    <mergeCell ref="Z149:AB149"/>
    <mergeCell ref="AC149:AE149"/>
    <mergeCell ref="AF149:AH149"/>
    <mergeCell ref="J157:M157"/>
    <mergeCell ref="N157:P157"/>
    <mergeCell ref="Q157:S157"/>
    <mergeCell ref="T157:V157"/>
    <mergeCell ref="W157:Y157"/>
    <mergeCell ref="Z157:AB157"/>
    <mergeCell ref="AC157:AE157"/>
    <mergeCell ref="AF157:AH157"/>
    <mergeCell ref="T133:V133"/>
    <mergeCell ref="W133:Y133"/>
    <mergeCell ref="Z133:AB133"/>
    <mergeCell ref="AC133:AE133"/>
    <mergeCell ref="N133:P133"/>
    <mergeCell ref="AC134:AE134"/>
    <mergeCell ref="N135:P135"/>
    <mergeCell ref="Q135:S135"/>
    <mergeCell ref="T135:V135"/>
    <mergeCell ref="W135:Y135"/>
    <mergeCell ref="Z135:AB135"/>
    <mergeCell ref="AC135:AE135"/>
    <mergeCell ref="N134:P134"/>
    <mergeCell ref="Q134:S134"/>
    <mergeCell ref="T134:V134"/>
    <mergeCell ref="W134:Y134"/>
    <mergeCell ref="Z134:AB134"/>
    <mergeCell ref="T97:V97"/>
    <mergeCell ref="W97:Y97"/>
    <mergeCell ref="Z97:AB97"/>
    <mergeCell ref="AC97:AE97"/>
    <mergeCell ref="Q129:S129"/>
    <mergeCell ref="T129:V129"/>
    <mergeCell ref="W129:Y129"/>
    <mergeCell ref="Z129:AB129"/>
    <mergeCell ref="AC129:AE129"/>
    <mergeCell ref="Q114:S114"/>
    <mergeCell ref="T114:V114"/>
    <mergeCell ref="W114:Y114"/>
    <mergeCell ref="Z114:AB114"/>
    <mergeCell ref="AC114:AE114"/>
    <mergeCell ref="Q127:S127"/>
    <mergeCell ref="T127:V127"/>
    <mergeCell ref="W127:Y127"/>
    <mergeCell ref="Z127:AB127"/>
    <mergeCell ref="AC127:AE127"/>
    <mergeCell ref="Q122:S122"/>
    <mergeCell ref="T122:V122"/>
    <mergeCell ref="W122:Y122"/>
    <mergeCell ref="Z122:AB122"/>
    <mergeCell ref="AC122:AE122"/>
    <mergeCell ref="AF114:AH114"/>
    <mergeCell ref="AC109:AE109"/>
    <mergeCell ref="AF109:AH109"/>
    <mergeCell ref="N110:P110"/>
    <mergeCell ref="Q110:S110"/>
    <mergeCell ref="T110:V110"/>
    <mergeCell ref="W110:Y110"/>
    <mergeCell ref="Z110:AB110"/>
    <mergeCell ref="AC110:AE110"/>
    <mergeCell ref="N109:P109"/>
    <mergeCell ref="Q109:S109"/>
    <mergeCell ref="T109:V109"/>
    <mergeCell ref="W109:Y109"/>
    <mergeCell ref="Z109:AB109"/>
    <mergeCell ref="T63:V63"/>
    <mergeCell ref="W63:Y63"/>
    <mergeCell ref="Z63:AB63"/>
    <mergeCell ref="AC63:AE63"/>
    <mergeCell ref="AF63:AH63"/>
    <mergeCell ref="J75:M75"/>
    <mergeCell ref="N75:P75"/>
    <mergeCell ref="Q75:S75"/>
    <mergeCell ref="T75:V75"/>
    <mergeCell ref="W75:Y75"/>
    <mergeCell ref="Z75:AB75"/>
    <mergeCell ref="AC75:AE75"/>
    <mergeCell ref="AF75:AH75"/>
    <mergeCell ref="T58:V58"/>
    <mergeCell ref="W58:Y58"/>
    <mergeCell ref="Z58:AB58"/>
    <mergeCell ref="AC58:AE58"/>
    <mergeCell ref="AF58:AH58"/>
    <mergeCell ref="B56:N56"/>
    <mergeCell ref="J186:M186"/>
    <mergeCell ref="N186:P186"/>
    <mergeCell ref="Q186:S186"/>
    <mergeCell ref="T186:V186"/>
    <mergeCell ref="W186:Y186"/>
    <mergeCell ref="Z186:AB186"/>
    <mergeCell ref="AC186:AE186"/>
    <mergeCell ref="AF186:AH186"/>
    <mergeCell ref="J185:M185"/>
    <mergeCell ref="N185:P185"/>
    <mergeCell ref="Q185:S185"/>
    <mergeCell ref="T185:V185"/>
    <mergeCell ref="W185:Y185"/>
    <mergeCell ref="Z185:AB185"/>
    <mergeCell ref="AC185:AE185"/>
    <mergeCell ref="AF185:AH185"/>
    <mergeCell ref="Z181:AB181"/>
    <mergeCell ref="AC181:AE181"/>
    <mergeCell ref="AF181:AH181"/>
    <mergeCell ref="J184:M184"/>
    <mergeCell ref="N184:P184"/>
    <mergeCell ref="Q184:S184"/>
    <mergeCell ref="T184:V184"/>
    <mergeCell ref="W184:Y184"/>
    <mergeCell ref="Z184:AB184"/>
    <mergeCell ref="AC184:AE184"/>
    <mergeCell ref="AF184:AH184"/>
    <mergeCell ref="J181:M181"/>
    <mergeCell ref="N181:P181"/>
    <mergeCell ref="Q181:S181"/>
    <mergeCell ref="T181:V181"/>
    <mergeCell ref="W181:Y181"/>
    <mergeCell ref="Z179:AB179"/>
    <mergeCell ref="AC179:AE179"/>
    <mergeCell ref="AF179:AH179"/>
    <mergeCell ref="J180:M180"/>
    <mergeCell ref="N180:P180"/>
    <mergeCell ref="Q180:S180"/>
    <mergeCell ref="T180:V180"/>
    <mergeCell ref="W180:Y180"/>
    <mergeCell ref="Z180:AB180"/>
    <mergeCell ref="AC180:AE180"/>
    <mergeCell ref="AF180:AH180"/>
    <mergeCell ref="J179:M179"/>
    <mergeCell ref="N179:P179"/>
    <mergeCell ref="Q179:S179"/>
    <mergeCell ref="T179:V179"/>
    <mergeCell ref="W179:Y179"/>
    <mergeCell ref="J178:M178"/>
    <mergeCell ref="N178:P178"/>
    <mergeCell ref="Q178:S178"/>
    <mergeCell ref="T178:V178"/>
    <mergeCell ref="W178:Y178"/>
    <mergeCell ref="Z178:AB178"/>
    <mergeCell ref="AC178:AE178"/>
    <mergeCell ref="AF178:AH178"/>
    <mergeCell ref="Q177:S177"/>
    <mergeCell ref="T177:V177"/>
    <mergeCell ref="W177:Y177"/>
    <mergeCell ref="Z177:AB177"/>
    <mergeCell ref="AC177:AE177"/>
    <mergeCell ref="J177:M177"/>
    <mergeCell ref="N177:P177"/>
    <mergeCell ref="J176:M176"/>
    <mergeCell ref="N176:P176"/>
    <mergeCell ref="Q176:S176"/>
    <mergeCell ref="T176:V176"/>
    <mergeCell ref="W176:Y176"/>
    <mergeCell ref="Z176:AB176"/>
    <mergeCell ref="AC176:AE176"/>
    <mergeCell ref="AF176:AH176"/>
    <mergeCell ref="AF177:AH177"/>
    <mergeCell ref="J175:M175"/>
    <mergeCell ref="N175:P175"/>
    <mergeCell ref="Q175:S175"/>
    <mergeCell ref="T175:V175"/>
    <mergeCell ref="W175:Y175"/>
    <mergeCell ref="Z175:AB175"/>
    <mergeCell ref="AC175:AE175"/>
    <mergeCell ref="AF175:AH175"/>
    <mergeCell ref="AF135:AH135"/>
    <mergeCell ref="AF136:AH136"/>
    <mergeCell ref="AF137:AH137"/>
    <mergeCell ref="AC138:AE138"/>
    <mergeCell ref="AF138:AH138"/>
    <mergeCell ref="N138:P138"/>
    <mergeCell ref="Q138:S138"/>
    <mergeCell ref="T138:V138"/>
    <mergeCell ref="W138:Y138"/>
    <mergeCell ref="Z138:AB138"/>
    <mergeCell ref="AC136:AE136"/>
    <mergeCell ref="N137:P137"/>
    <mergeCell ref="Q137:S137"/>
    <mergeCell ref="T137:V137"/>
    <mergeCell ref="W137:Y137"/>
    <mergeCell ref="Z137:AB137"/>
    <mergeCell ref="AF127:AH127"/>
    <mergeCell ref="Q126:S126"/>
    <mergeCell ref="W126:Y126"/>
    <mergeCell ref="Z126:AB126"/>
    <mergeCell ref="AC126:AE126"/>
    <mergeCell ref="N126:P126"/>
    <mergeCell ref="T126:V126"/>
    <mergeCell ref="N123:P123"/>
    <mergeCell ref="Q123:S123"/>
    <mergeCell ref="T123:V123"/>
    <mergeCell ref="W123:Y123"/>
    <mergeCell ref="Z123:AB123"/>
    <mergeCell ref="AC123:AE123"/>
    <mergeCell ref="AF123:AH123"/>
    <mergeCell ref="N125:P125"/>
    <mergeCell ref="Q125:S125"/>
    <mergeCell ref="T125:V125"/>
    <mergeCell ref="W125:Y125"/>
    <mergeCell ref="Z125:AB125"/>
    <mergeCell ref="Q124:S124"/>
    <mergeCell ref="T124:V124"/>
    <mergeCell ref="W124:Y124"/>
    <mergeCell ref="Z124:AB124"/>
    <mergeCell ref="T121:V121"/>
    <mergeCell ref="W121:Y121"/>
    <mergeCell ref="Z121:AB121"/>
    <mergeCell ref="AC121:AE121"/>
    <mergeCell ref="AF121:AH121"/>
    <mergeCell ref="Q120:S120"/>
    <mergeCell ref="T120:V120"/>
    <mergeCell ref="W120:Y120"/>
    <mergeCell ref="Z120:AB120"/>
    <mergeCell ref="AC120:AE120"/>
    <mergeCell ref="AF118:AH118"/>
    <mergeCell ref="N119:P119"/>
    <mergeCell ref="Q119:S119"/>
    <mergeCell ref="T119:V119"/>
    <mergeCell ref="W119:Y119"/>
    <mergeCell ref="Z119:AB119"/>
    <mergeCell ref="AC119:AE119"/>
    <mergeCell ref="AF119:AH119"/>
    <mergeCell ref="Q118:S118"/>
    <mergeCell ref="T118:V118"/>
    <mergeCell ref="W118:Y118"/>
    <mergeCell ref="Z118:AB118"/>
    <mergeCell ref="AC118:AE118"/>
    <mergeCell ref="T136:V136"/>
    <mergeCell ref="W136:Y136"/>
    <mergeCell ref="Z136:AB136"/>
    <mergeCell ref="AC112:AE112"/>
    <mergeCell ref="AF112:AH112"/>
    <mergeCell ref="N112:P112"/>
    <mergeCell ref="Q112:S112"/>
    <mergeCell ref="T112:V112"/>
    <mergeCell ref="W112:Y112"/>
    <mergeCell ref="Z112:AB112"/>
    <mergeCell ref="N115:P115"/>
    <mergeCell ref="Q115:S115"/>
    <mergeCell ref="T115:V115"/>
    <mergeCell ref="W115:Y115"/>
    <mergeCell ref="Z115:AB115"/>
    <mergeCell ref="AC115:AE115"/>
    <mergeCell ref="AF115:AH115"/>
    <mergeCell ref="AF116:AH116"/>
    <mergeCell ref="N117:P117"/>
    <mergeCell ref="Q117:S117"/>
    <mergeCell ref="T117:V117"/>
    <mergeCell ref="W117:Y117"/>
    <mergeCell ref="W128:Y128"/>
    <mergeCell ref="Z128:AB128"/>
    <mergeCell ref="Q108:S108"/>
    <mergeCell ref="T108:V108"/>
    <mergeCell ref="W108:Y108"/>
    <mergeCell ref="Z108:AB108"/>
    <mergeCell ref="AC108:AE108"/>
    <mergeCell ref="AF108:AH108"/>
    <mergeCell ref="N107:P107"/>
    <mergeCell ref="Q107:S107"/>
    <mergeCell ref="T107:V107"/>
    <mergeCell ref="W107:Y107"/>
    <mergeCell ref="Z107:AB107"/>
    <mergeCell ref="AC107:AE107"/>
    <mergeCell ref="AF107:AH107"/>
    <mergeCell ref="N106:P106"/>
    <mergeCell ref="Q106:S106"/>
    <mergeCell ref="T106:V106"/>
    <mergeCell ref="W106:Y106"/>
    <mergeCell ref="Z106:AB106"/>
    <mergeCell ref="AC106:AE106"/>
    <mergeCell ref="AF106:AH106"/>
    <mergeCell ref="N105:P105"/>
    <mergeCell ref="Q105:S105"/>
    <mergeCell ref="T105:V105"/>
    <mergeCell ref="W105:Y105"/>
    <mergeCell ref="Z105:AB105"/>
    <mergeCell ref="AC105:AE105"/>
    <mergeCell ref="AF105:AH105"/>
    <mergeCell ref="N104:P104"/>
    <mergeCell ref="Q104:S104"/>
    <mergeCell ref="T104:V104"/>
    <mergeCell ref="W104:Y104"/>
    <mergeCell ref="Z104:AB104"/>
    <mergeCell ref="AC104:AE104"/>
    <mergeCell ref="AF104:AH104"/>
    <mergeCell ref="N103:P103"/>
    <mergeCell ref="Q103:S103"/>
    <mergeCell ref="T103:V103"/>
    <mergeCell ref="W103:Y103"/>
    <mergeCell ref="Z103:AB103"/>
    <mergeCell ref="AC103:AE103"/>
    <mergeCell ref="AF103:AH103"/>
    <mergeCell ref="N102:P102"/>
    <mergeCell ref="Q102:S102"/>
    <mergeCell ref="T102:V102"/>
    <mergeCell ref="W102:Y102"/>
    <mergeCell ref="Z102:AB102"/>
    <mergeCell ref="AC102:AE102"/>
    <mergeCell ref="AF102:AH102"/>
    <mergeCell ref="N101:P101"/>
    <mergeCell ref="Q101:S101"/>
    <mergeCell ref="T101:V101"/>
    <mergeCell ref="W101:Y101"/>
    <mergeCell ref="Z101:AB101"/>
    <mergeCell ref="AC101:AE101"/>
    <mergeCell ref="AF101:AH101"/>
    <mergeCell ref="J173:M173"/>
    <mergeCell ref="N173:P173"/>
    <mergeCell ref="Q173:S173"/>
    <mergeCell ref="T173:V173"/>
    <mergeCell ref="W173:Y173"/>
    <mergeCell ref="Z173:AB173"/>
    <mergeCell ref="AC173:AE173"/>
    <mergeCell ref="AF173:AH173"/>
    <mergeCell ref="J170:M170"/>
    <mergeCell ref="N170:P170"/>
    <mergeCell ref="Q170:S170"/>
    <mergeCell ref="T170:V170"/>
    <mergeCell ref="W170:Y170"/>
    <mergeCell ref="Z170:AB170"/>
    <mergeCell ref="AC170:AE170"/>
    <mergeCell ref="AF170:AH170"/>
    <mergeCell ref="J172:M172"/>
    <mergeCell ref="N172:P172"/>
    <mergeCell ref="Q172:S172"/>
    <mergeCell ref="T172:V172"/>
    <mergeCell ref="W172:Y172"/>
    <mergeCell ref="Z172:AB172"/>
    <mergeCell ref="AC172:AE172"/>
    <mergeCell ref="AF172:AH172"/>
    <mergeCell ref="AF166:AH166"/>
    <mergeCell ref="J167:M167"/>
    <mergeCell ref="N167:P167"/>
    <mergeCell ref="Q167:S167"/>
    <mergeCell ref="T167:V167"/>
    <mergeCell ref="W167:Y167"/>
    <mergeCell ref="Z167:AB167"/>
    <mergeCell ref="AC167:AE167"/>
    <mergeCell ref="AF167:AH167"/>
    <mergeCell ref="Z166:AB166"/>
    <mergeCell ref="AC166:AE166"/>
    <mergeCell ref="J166:M166"/>
    <mergeCell ref="N166:P166"/>
    <mergeCell ref="Q166:S166"/>
    <mergeCell ref="T166:V166"/>
    <mergeCell ref="W166:Y166"/>
    <mergeCell ref="J158:M158"/>
    <mergeCell ref="J159:M159"/>
    <mergeCell ref="J160:M160"/>
    <mergeCell ref="J161:M161"/>
    <mergeCell ref="J162:M162"/>
    <mergeCell ref="J163:M163"/>
    <mergeCell ref="AC161:AE161"/>
    <mergeCell ref="AF161:AH161"/>
    <mergeCell ref="N162:P162"/>
    <mergeCell ref="Q162:S162"/>
    <mergeCell ref="T162:V162"/>
    <mergeCell ref="W162:Y162"/>
    <mergeCell ref="Z162:AB162"/>
    <mergeCell ref="AC162:AE162"/>
    <mergeCell ref="AF162:AH162"/>
    <mergeCell ref="AC159:AE159"/>
    <mergeCell ref="AF159:AH159"/>
    <mergeCell ref="N158:P158"/>
    <mergeCell ref="Q158:S158"/>
    <mergeCell ref="T158:V158"/>
    <mergeCell ref="W158:Y158"/>
    <mergeCell ref="Z158:AB158"/>
    <mergeCell ref="AC158:AE158"/>
    <mergeCell ref="AF158:AH158"/>
    <mergeCell ref="N163:P163"/>
    <mergeCell ref="Q163:S163"/>
    <mergeCell ref="T163:V163"/>
    <mergeCell ref="W163:Y163"/>
    <mergeCell ref="N161:P161"/>
    <mergeCell ref="Q161:S161"/>
    <mergeCell ref="T161:V161"/>
    <mergeCell ref="W161:Y161"/>
    <mergeCell ref="Z161:AB161"/>
    <mergeCell ref="N159:P159"/>
    <mergeCell ref="Q159:S159"/>
    <mergeCell ref="T159:V159"/>
    <mergeCell ref="W159:Y159"/>
    <mergeCell ref="Z159:AB159"/>
    <mergeCell ref="N160:P160"/>
    <mergeCell ref="Q160:S160"/>
    <mergeCell ref="T155:V155"/>
    <mergeCell ref="AC160:AE160"/>
    <mergeCell ref="T160:V160"/>
    <mergeCell ref="W160:Y160"/>
    <mergeCell ref="Z160:AB160"/>
    <mergeCell ref="AF160:AH160"/>
    <mergeCell ref="Z163:AB163"/>
    <mergeCell ref="AC163:AE163"/>
    <mergeCell ref="AF163:AH163"/>
    <mergeCell ref="W155:Y155"/>
    <mergeCell ref="W154:Y154"/>
    <mergeCell ref="W153:Y153"/>
    <mergeCell ref="W152:Y152"/>
    <mergeCell ref="AF152:AH152"/>
    <mergeCell ref="AF153:AH153"/>
    <mergeCell ref="AF154:AH154"/>
    <mergeCell ref="AF155:AH155"/>
    <mergeCell ref="Z152:AB152"/>
    <mergeCell ref="Z153:AB153"/>
    <mergeCell ref="Z154:AB154"/>
    <mergeCell ref="Z155:AB155"/>
    <mergeCell ref="AC155:AE155"/>
    <mergeCell ref="AC154:AE154"/>
    <mergeCell ref="AC153:AE153"/>
    <mergeCell ref="AC152:AE152"/>
    <mergeCell ref="Z151:AB151"/>
    <mergeCell ref="AC151:AE151"/>
    <mergeCell ref="AF151:AH151"/>
    <mergeCell ref="J150:M150"/>
    <mergeCell ref="N150:P150"/>
    <mergeCell ref="Q150:S150"/>
    <mergeCell ref="T150:V150"/>
    <mergeCell ref="N151:P151"/>
    <mergeCell ref="W151:Y151"/>
    <mergeCell ref="W150:Y150"/>
    <mergeCell ref="Z150:AB150"/>
    <mergeCell ref="AC150:AE150"/>
    <mergeCell ref="AF150:AH150"/>
    <mergeCell ref="T151:V151"/>
    <mergeCell ref="AC137:AE137"/>
    <mergeCell ref="Z117:AB117"/>
    <mergeCell ref="AC117:AE117"/>
    <mergeCell ref="AF117:AH117"/>
    <mergeCell ref="AC125:AE125"/>
    <mergeCell ref="AF125:AH125"/>
    <mergeCell ref="AF129:AH129"/>
    <mergeCell ref="N9:P9"/>
    <mergeCell ref="W98:Y98"/>
    <mergeCell ref="Z98:AB98"/>
    <mergeCell ref="AC98:AE98"/>
    <mergeCell ref="AF98:AH98"/>
    <mergeCell ref="N100:P100"/>
    <mergeCell ref="Q100:S100"/>
    <mergeCell ref="T100:V100"/>
    <mergeCell ref="W100:Y100"/>
    <mergeCell ref="Z100:AB100"/>
    <mergeCell ref="AC100:AE100"/>
    <mergeCell ref="AF100:AH100"/>
    <mergeCell ref="N99:P99"/>
    <mergeCell ref="Q99:S99"/>
    <mergeCell ref="T99:V99"/>
    <mergeCell ref="W99:Y99"/>
    <mergeCell ref="Z99:AB99"/>
    <mergeCell ref="AF5:AH5"/>
    <mergeCell ref="Q6:S6"/>
    <mergeCell ref="W41:Y41"/>
    <mergeCell ref="Z41:AB41"/>
    <mergeCell ref="T6:V6"/>
    <mergeCell ref="W6:Y6"/>
    <mergeCell ref="Z6:AB6"/>
    <mergeCell ref="AC6:AE6"/>
    <mergeCell ref="AF6:AH6"/>
    <mergeCell ref="AC41:AE41"/>
    <mergeCell ref="AF41:AH41"/>
    <mergeCell ref="AC15:AE15"/>
    <mergeCell ref="AF15:AH15"/>
    <mergeCell ref="Q41:S41"/>
    <mergeCell ref="T41:V41"/>
    <mergeCell ref="Q9:S9"/>
    <mergeCell ref="Q15:S15"/>
    <mergeCell ref="Q36:S36"/>
    <mergeCell ref="T36:V36"/>
    <mergeCell ref="W36:Y36"/>
    <mergeCell ref="Z36:AB36"/>
    <mergeCell ref="AC36:AE36"/>
    <mergeCell ref="AF36:AH36"/>
    <mergeCell ref="T153:V153"/>
    <mergeCell ref="T154:V154"/>
    <mergeCell ref="J151:M151"/>
    <mergeCell ref="Q151:S151"/>
    <mergeCell ref="AF4:AH4"/>
    <mergeCell ref="J5:M5"/>
    <mergeCell ref="J6:M6"/>
    <mergeCell ref="N4:P4"/>
    <mergeCell ref="Q4:S4"/>
    <mergeCell ref="T4:V4"/>
    <mergeCell ref="W4:Y4"/>
    <mergeCell ref="Z4:AB4"/>
    <mergeCell ref="N98:P98"/>
    <mergeCell ref="N5:P5"/>
    <mergeCell ref="N6:P6"/>
    <mergeCell ref="Q5:S5"/>
    <mergeCell ref="T5:V5"/>
    <mergeCell ref="W5:Y5"/>
    <mergeCell ref="J4:M4"/>
    <mergeCell ref="AC4:AE4"/>
    <mergeCell ref="Z5:AB5"/>
    <mergeCell ref="J41:M41"/>
    <mergeCell ref="AC5:AE5"/>
    <mergeCell ref="N41:P41"/>
    <mergeCell ref="Q98:S98"/>
    <mergeCell ref="T98:V98"/>
    <mergeCell ref="B189:AH189"/>
    <mergeCell ref="N124:P124"/>
    <mergeCell ref="N116:P116"/>
    <mergeCell ref="N118:P118"/>
    <mergeCell ref="N120:P120"/>
    <mergeCell ref="N122:P122"/>
    <mergeCell ref="J152:M152"/>
    <mergeCell ref="J153:M153"/>
    <mergeCell ref="J154:M154"/>
    <mergeCell ref="J155:M155"/>
    <mergeCell ref="N152:P152"/>
    <mergeCell ref="N153:P153"/>
    <mergeCell ref="N154:P154"/>
    <mergeCell ref="N155:P155"/>
    <mergeCell ref="Q152:S152"/>
    <mergeCell ref="Q153:S153"/>
    <mergeCell ref="Q154:S154"/>
    <mergeCell ref="Q155:S155"/>
    <mergeCell ref="T152:V152"/>
    <mergeCell ref="N128:P128"/>
    <mergeCell ref="Q128:S128"/>
    <mergeCell ref="T128:V128"/>
    <mergeCell ref="AC128:AE128"/>
    <mergeCell ref="AF128:AH128"/>
    <mergeCell ref="AE8:AG8"/>
    <mergeCell ref="AF9:AH9"/>
    <mergeCell ref="T9:V9"/>
    <mergeCell ref="W9:Y9"/>
    <mergeCell ref="Z9:AB9"/>
    <mergeCell ref="AC9:AE9"/>
    <mergeCell ref="AC99:AE99"/>
    <mergeCell ref="AF99:AH99"/>
    <mergeCell ref="T15:V15"/>
    <mergeCell ref="W15:Y15"/>
    <mergeCell ref="Z15:AB15"/>
    <mergeCell ref="AF110:AH110"/>
    <mergeCell ref="AF120:AH120"/>
    <mergeCell ref="AF124:AH124"/>
    <mergeCell ref="AC124:AE124"/>
    <mergeCell ref="AF122:AH122"/>
    <mergeCell ref="AF126:AH126"/>
    <mergeCell ref="AF97:AH97"/>
    <mergeCell ref="T116:V116"/>
    <mergeCell ref="W116:Y116"/>
    <mergeCell ref="Z116:AB116"/>
    <mergeCell ref="AC116:AE116"/>
  </mergeCells>
  <phoneticPr fontId="3" type="noConversion"/>
  <pageMargins left="0.7" right="0.7" top="0.75" bottom="0.75" header="0.3" footer="0.3"/>
  <pageSetup paperSize="9" scale="14" orientation="portrait" r:id="rId1"/>
  <headerFooter>
    <oddFooter>&amp;L_x000D_&amp;1#&amp;"Calibri"&amp;8&amp;K000000 Unclassified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131FA-1ED5-419A-B357-DEEDE05BF813}">
  <sheetPr codeName="Sheet5">
    <tabColor theme="5" tint="0.79998168889431442"/>
    <pageSetUpPr fitToPage="1"/>
  </sheetPr>
  <dimension ref="B1:AG189"/>
  <sheetViews>
    <sheetView showGridLines="0" topLeftCell="A168" zoomScale="70" zoomScaleNormal="70" workbookViewId="0">
      <selection activeCell="I31" sqref="I31"/>
    </sheetView>
  </sheetViews>
  <sheetFormatPr defaultColWidth="8.5703125" defaultRowHeight="15" x14ac:dyDescent="0.2"/>
  <cols>
    <col min="1" max="1" width="4.42578125" style="37" customWidth="1"/>
    <col min="2" max="2" width="69.5703125" style="37" customWidth="1"/>
    <col min="3" max="3" width="17.5703125" style="37" customWidth="1"/>
    <col min="4" max="4" width="9.5703125" style="40" customWidth="1"/>
    <col min="5" max="5" width="9.42578125" style="40" customWidth="1"/>
    <col min="6" max="6" width="18" style="450" bestFit="1" customWidth="1"/>
    <col min="7" max="7" width="17.5703125" style="450" bestFit="1" customWidth="1"/>
    <col min="8" max="8" width="11.42578125" style="450" customWidth="1"/>
    <col min="9" max="9" width="14" style="450" customWidth="1"/>
    <col min="10" max="10" width="18" style="450" bestFit="1" customWidth="1"/>
    <col min="11" max="11" width="17.5703125" style="450" bestFit="1" customWidth="1"/>
    <col min="12" max="12" width="11.42578125" style="450" customWidth="1"/>
    <col min="13" max="13" width="14" style="450" customWidth="1"/>
    <col min="14" max="14" width="15.42578125" style="41" customWidth="1"/>
    <col min="15" max="31" width="15.42578125" style="29" customWidth="1"/>
    <col min="32" max="32" width="15.5703125" style="48" customWidth="1"/>
    <col min="33" max="33" width="39.42578125" style="48" customWidth="1"/>
    <col min="34" max="34" width="21.42578125" style="37" customWidth="1"/>
    <col min="35" max="16384" width="8.5703125" style="37"/>
  </cols>
  <sheetData>
    <row r="1" spans="2:33" ht="24.6" customHeight="1" x14ac:dyDescent="0.2"/>
    <row r="2" spans="2:33" ht="81" customHeight="1" x14ac:dyDescent="0.2">
      <c r="B2" s="682" t="s">
        <v>225</v>
      </c>
      <c r="C2" s="343"/>
      <c r="D2" s="4"/>
      <c r="E2" s="4"/>
      <c r="F2" s="454"/>
      <c r="G2" s="454"/>
      <c r="H2" s="454"/>
      <c r="I2" s="454"/>
      <c r="J2" s="454"/>
      <c r="K2" s="454"/>
      <c r="L2" s="454"/>
      <c r="M2" s="454"/>
      <c r="N2" s="4"/>
      <c r="O2" s="4"/>
      <c r="P2" s="4"/>
      <c r="Q2" s="4"/>
      <c r="R2" s="4"/>
      <c r="S2" s="4"/>
      <c r="T2" s="4"/>
      <c r="U2" s="4"/>
      <c r="V2" s="4"/>
      <c r="W2" s="4"/>
      <c r="X2" s="4"/>
      <c r="Y2" s="4"/>
      <c r="Z2" s="4"/>
      <c r="AA2" s="4"/>
      <c r="AB2" s="4"/>
      <c r="AC2" s="4"/>
      <c r="AD2" s="4"/>
      <c r="AE2" s="277"/>
      <c r="AF2" s="50"/>
    </row>
    <row r="3" spans="2:33" ht="25.5" customHeight="1" x14ac:dyDescent="0.2">
      <c r="B3" s="51"/>
      <c r="C3" s="51"/>
      <c r="D3" s="15"/>
      <c r="E3" s="15"/>
      <c r="F3" s="455"/>
      <c r="G3" s="455"/>
      <c r="H3" s="455"/>
      <c r="I3" s="455"/>
      <c r="J3" s="455"/>
      <c r="K3" s="455"/>
      <c r="L3" s="455"/>
      <c r="M3" s="455"/>
      <c r="N3" s="16"/>
      <c r="O3" s="12"/>
      <c r="P3" s="12"/>
      <c r="Q3" s="12"/>
      <c r="R3" s="12"/>
      <c r="S3" s="12"/>
      <c r="T3" s="12"/>
      <c r="U3" s="12"/>
      <c r="Y3" s="12"/>
      <c r="AA3" s="12"/>
      <c r="AB3" s="12"/>
      <c r="AC3" s="12"/>
      <c r="AD3" s="12"/>
      <c r="AE3" s="12"/>
      <c r="AF3" s="50"/>
    </row>
    <row r="4" spans="2:33" ht="26.85" customHeight="1" x14ac:dyDescent="0.2">
      <c r="B4" s="6" t="s">
        <v>94</v>
      </c>
      <c r="C4" s="6"/>
      <c r="D4" s="7" t="s">
        <v>9</v>
      </c>
      <c r="E4" s="7"/>
      <c r="F4" s="930" t="s">
        <v>10</v>
      </c>
      <c r="G4" s="930"/>
      <c r="H4" s="930"/>
      <c r="I4" s="930"/>
      <c r="J4" s="930" t="s">
        <v>11</v>
      </c>
      <c r="K4" s="930"/>
      <c r="L4" s="930"/>
      <c r="M4" s="930"/>
      <c r="N4" s="920" t="s">
        <v>12</v>
      </c>
      <c r="O4" s="920"/>
      <c r="P4" s="920"/>
      <c r="Q4" s="920" t="s">
        <v>13</v>
      </c>
      <c r="R4" s="920"/>
      <c r="S4" s="920"/>
      <c r="T4" s="920" t="s">
        <v>14</v>
      </c>
      <c r="U4" s="920"/>
      <c r="V4" s="920"/>
      <c r="W4" s="920" t="s">
        <v>15</v>
      </c>
      <c r="X4" s="920"/>
      <c r="Y4" s="920"/>
      <c r="Z4" s="920" t="s">
        <v>16</v>
      </c>
      <c r="AA4" s="920"/>
      <c r="AB4" s="920"/>
      <c r="AC4" s="920" t="s">
        <v>17</v>
      </c>
      <c r="AD4" s="920"/>
      <c r="AE4" s="920"/>
      <c r="AF4" s="52"/>
    </row>
    <row r="5" spans="2:33" ht="26.85" customHeight="1" x14ac:dyDescent="0.25">
      <c r="B5" s="556" t="s">
        <v>95</v>
      </c>
      <c r="C5" s="200"/>
      <c r="D5" s="180" t="s">
        <v>25</v>
      </c>
      <c r="E5" s="180"/>
      <c r="F5" s="950">
        <v>73</v>
      </c>
      <c r="G5" s="950"/>
      <c r="H5" s="950"/>
      <c r="I5" s="950"/>
      <c r="J5" s="939">
        <v>72</v>
      </c>
      <c r="K5" s="939"/>
      <c r="L5" s="939"/>
      <c r="M5" s="939"/>
      <c r="N5" s="931">
        <v>80</v>
      </c>
      <c r="O5" s="931"/>
      <c r="P5" s="931"/>
      <c r="Q5" s="931">
        <v>286</v>
      </c>
      <c r="R5" s="931"/>
      <c r="S5" s="931"/>
      <c r="T5" s="935">
        <v>300</v>
      </c>
      <c r="U5" s="935"/>
      <c r="V5" s="935"/>
      <c r="W5" s="935">
        <v>320</v>
      </c>
      <c r="X5" s="935"/>
      <c r="Y5" s="935"/>
      <c r="Z5" s="931">
        <v>368</v>
      </c>
      <c r="AA5" s="931"/>
      <c r="AB5" s="931"/>
      <c r="AC5" s="931">
        <v>298</v>
      </c>
      <c r="AD5" s="931"/>
      <c r="AE5" s="931"/>
      <c r="AF5" s="53"/>
    </row>
    <row r="6" spans="2:33" ht="26.85" customHeight="1" x14ac:dyDescent="0.25">
      <c r="B6" s="557" t="s">
        <v>96</v>
      </c>
      <c r="C6" s="304"/>
      <c r="D6" s="180" t="s">
        <v>25</v>
      </c>
      <c r="E6" s="180"/>
      <c r="F6" s="950">
        <v>72.599999999999994</v>
      </c>
      <c r="G6" s="950"/>
      <c r="H6" s="950"/>
      <c r="I6" s="950"/>
      <c r="J6" s="939">
        <v>71.400000000000006</v>
      </c>
      <c r="K6" s="939"/>
      <c r="L6" s="939"/>
      <c r="M6" s="939"/>
      <c r="N6" s="931" t="s">
        <v>23</v>
      </c>
      <c r="O6" s="931"/>
      <c r="P6" s="931"/>
      <c r="Q6" s="931" t="s">
        <v>23</v>
      </c>
      <c r="R6" s="931"/>
      <c r="S6" s="931"/>
      <c r="T6" s="931" t="s">
        <v>23</v>
      </c>
      <c r="U6" s="931"/>
      <c r="V6" s="931"/>
      <c r="W6" s="931" t="s">
        <v>23</v>
      </c>
      <c r="X6" s="931"/>
      <c r="Y6" s="931"/>
      <c r="Z6" s="931" t="s">
        <v>23</v>
      </c>
      <c r="AA6" s="931"/>
      <c r="AB6" s="931"/>
      <c r="AC6" s="931" t="s">
        <v>23</v>
      </c>
      <c r="AD6" s="931"/>
      <c r="AE6" s="931"/>
      <c r="AF6" s="53"/>
    </row>
    <row r="7" spans="2:33" s="88" customFormat="1" ht="26.85" customHeight="1" x14ac:dyDescent="0.2">
      <c r="B7" s="982" t="s">
        <v>226</v>
      </c>
      <c r="C7" s="982"/>
      <c r="D7" s="982"/>
      <c r="E7" s="982"/>
      <c r="F7" s="982"/>
      <c r="G7" s="982"/>
      <c r="H7" s="982"/>
      <c r="I7" s="982"/>
      <c r="J7" s="982"/>
      <c r="K7" s="982"/>
      <c r="L7" s="982"/>
      <c r="M7" s="982"/>
      <c r="N7" s="982"/>
      <c r="O7" s="982"/>
      <c r="P7" s="982"/>
      <c r="Q7" s="982"/>
      <c r="R7" s="982"/>
      <c r="S7" s="982"/>
      <c r="T7" s="982"/>
      <c r="U7" s="982"/>
      <c r="V7" s="982"/>
      <c r="W7" s="982"/>
      <c r="X7" s="982"/>
      <c r="Y7" s="982"/>
      <c r="Z7" s="982"/>
      <c r="AA7" s="982"/>
      <c r="AB7" s="982"/>
      <c r="AC7" s="982"/>
      <c r="AD7" s="982"/>
      <c r="AE7" s="982"/>
      <c r="AF7" s="319"/>
      <c r="AG7" s="319"/>
    </row>
    <row r="8" spans="2:33" ht="50.1" customHeight="1" x14ac:dyDescent="0.2">
      <c r="B8" s="56"/>
      <c r="C8" s="56"/>
      <c r="F8" s="68"/>
      <c r="G8" s="68"/>
      <c r="H8" s="68"/>
      <c r="I8" s="68"/>
      <c r="J8" s="68"/>
      <c r="K8" s="68"/>
      <c r="L8" s="68"/>
      <c r="M8" s="68"/>
      <c r="Q8" s="55"/>
      <c r="R8" s="20"/>
      <c r="S8" s="21"/>
      <c r="T8" s="55"/>
      <c r="U8" s="55"/>
      <c r="V8" s="132"/>
      <c r="W8" s="132"/>
      <c r="Y8" s="27"/>
      <c r="AA8" s="12"/>
      <c r="AB8" s="27"/>
      <c r="AC8" s="27"/>
    </row>
    <row r="9" spans="2:33" ht="26.85" customHeight="1" x14ac:dyDescent="0.2">
      <c r="B9" s="6" t="s">
        <v>98</v>
      </c>
      <c r="C9" s="6"/>
      <c r="D9" s="7" t="s">
        <v>9</v>
      </c>
      <c r="E9" s="7"/>
      <c r="F9" s="930" t="s">
        <v>10</v>
      </c>
      <c r="G9" s="930"/>
      <c r="H9" s="930"/>
      <c r="I9" s="930"/>
      <c r="J9" s="980" t="s">
        <v>11</v>
      </c>
      <c r="K9" s="980"/>
      <c r="L9" s="980"/>
      <c r="M9" s="980"/>
      <c r="N9" s="981" t="s">
        <v>12</v>
      </c>
      <c r="O9" s="981"/>
      <c r="P9" s="981"/>
      <c r="Q9" s="981" t="s">
        <v>13</v>
      </c>
      <c r="R9" s="981"/>
      <c r="S9" s="981"/>
      <c r="T9" s="981" t="s">
        <v>14</v>
      </c>
      <c r="U9" s="981"/>
      <c r="V9" s="981"/>
      <c r="W9" s="981" t="s">
        <v>15</v>
      </c>
      <c r="X9" s="981"/>
      <c r="Y9" s="981"/>
      <c r="Z9" s="981" t="s">
        <v>16</v>
      </c>
      <c r="AA9" s="981"/>
      <c r="AB9" s="981"/>
      <c r="AC9" s="981" t="s">
        <v>17</v>
      </c>
      <c r="AD9" s="981"/>
      <c r="AE9" s="981"/>
      <c r="AF9" s="58"/>
    </row>
    <row r="10" spans="2:33" ht="26.85" customHeight="1" x14ac:dyDescent="0.2">
      <c r="B10" s="318"/>
      <c r="C10" s="318"/>
      <c r="D10" s="180"/>
      <c r="E10" s="180"/>
      <c r="F10" s="182" t="s">
        <v>99</v>
      </c>
      <c r="G10" s="182" t="s">
        <v>100</v>
      </c>
      <c r="H10" s="532" t="s">
        <v>101</v>
      </c>
      <c r="I10" s="182" t="s">
        <v>102</v>
      </c>
      <c r="J10" s="452" t="s">
        <v>99</v>
      </c>
      <c r="K10" s="452" t="s">
        <v>100</v>
      </c>
      <c r="L10" s="690" t="s">
        <v>101</v>
      </c>
      <c r="M10" s="452" t="s">
        <v>102</v>
      </c>
      <c r="N10" s="183" t="s">
        <v>99</v>
      </c>
      <c r="O10" s="183" t="s">
        <v>100</v>
      </c>
      <c r="P10" s="183" t="s">
        <v>102</v>
      </c>
      <c r="Q10" s="183" t="s">
        <v>99</v>
      </c>
      <c r="R10" s="183" t="s">
        <v>100</v>
      </c>
      <c r="S10" s="183" t="s">
        <v>102</v>
      </c>
      <c r="T10" s="183" t="s">
        <v>99</v>
      </c>
      <c r="U10" s="183" t="s">
        <v>100</v>
      </c>
      <c r="V10" s="183" t="s">
        <v>102</v>
      </c>
      <c r="W10" s="183" t="s">
        <v>99</v>
      </c>
      <c r="X10" s="183" t="s">
        <v>100</v>
      </c>
      <c r="Y10" s="183" t="s">
        <v>102</v>
      </c>
      <c r="Z10" s="183" t="s">
        <v>99</v>
      </c>
      <c r="AA10" s="183" t="s">
        <v>100</v>
      </c>
      <c r="AB10" s="183" t="s">
        <v>102</v>
      </c>
      <c r="AC10" s="183" t="s">
        <v>99</v>
      </c>
      <c r="AD10" s="183" t="s">
        <v>100</v>
      </c>
      <c r="AE10" s="183" t="s">
        <v>102</v>
      </c>
      <c r="AF10" s="58"/>
    </row>
    <row r="11" spans="2:33" ht="26.85" customHeight="1" x14ac:dyDescent="0.25">
      <c r="B11" s="180" t="s">
        <v>103</v>
      </c>
      <c r="C11" s="180"/>
      <c r="D11" s="180" t="s">
        <v>25</v>
      </c>
      <c r="E11" s="180"/>
      <c r="F11" s="456">
        <v>36</v>
      </c>
      <c r="G11" s="456">
        <v>37</v>
      </c>
      <c r="H11" s="750" t="s">
        <v>23</v>
      </c>
      <c r="I11" s="456">
        <f>SUM(F11:G11)</f>
        <v>73</v>
      </c>
      <c r="J11" s="743">
        <v>33</v>
      </c>
      <c r="K11" s="743">
        <v>39</v>
      </c>
      <c r="L11" s="721" t="s">
        <v>23</v>
      </c>
      <c r="M11" s="743">
        <f>SUM(J11:K11)</f>
        <v>72</v>
      </c>
      <c r="N11" s="373">
        <v>34</v>
      </c>
      <c r="O11" s="373">
        <v>46</v>
      </c>
      <c r="P11" s="373">
        <f>SUM(N11:O11)</f>
        <v>80</v>
      </c>
      <c r="Q11" s="191">
        <v>60</v>
      </c>
      <c r="R11" s="191">
        <v>189</v>
      </c>
      <c r="S11" s="191">
        <v>249</v>
      </c>
      <c r="T11" s="374">
        <v>54</v>
      </c>
      <c r="U11" s="374">
        <v>188</v>
      </c>
      <c r="V11" s="374">
        <f>SUM(T11:U11)</f>
        <v>242</v>
      </c>
      <c r="W11" s="374">
        <v>56</v>
      </c>
      <c r="X11" s="374">
        <v>199</v>
      </c>
      <c r="Y11" s="374">
        <f>SUM(W11:X11)</f>
        <v>255</v>
      </c>
      <c r="Z11" s="374">
        <v>55</v>
      </c>
      <c r="AA11" s="374">
        <v>226</v>
      </c>
      <c r="AB11" s="374">
        <f>SUM(Z11:AA11)</f>
        <v>281</v>
      </c>
      <c r="AC11" s="192">
        <v>55</v>
      </c>
      <c r="AD11" s="192">
        <v>223</v>
      </c>
      <c r="AE11" s="192">
        <f>SUM(AC11:AD11)</f>
        <v>278</v>
      </c>
      <c r="AF11" s="59"/>
    </row>
    <row r="12" spans="2:33" ht="26.85" customHeight="1" x14ac:dyDescent="0.25">
      <c r="B12" s="180" t="s">
        <v>103</v>
      </c>
      <c r="C12" s="180"/>
      <c r="D12" s="180" t="s">
        <v>31</v>
      </c>
      <c r="E12" s="180"/>
      <c r="F12" s="457">
        <v>0.49315068493150682</v>
      </c>
      <c r="G12" s="457">
        <v>0.50684931506849318</v>
      </c>
      <c r="H12" s="750" t="s">
        <v>23</v>
      </c>
      <c r="I12" s="504">
        <f>SUM(F12:G12)</f>
        <v>1</v>
      </c>
      <c r="J12" s="744">
        <v>0.45833333333333331</v>
      </c>
      <c r="K12" s="744">
        <v>0.54166666666666663</v>
      </c>
      <c r="L12" s="721" t="s">
        <v>23</v>
      </c>
      <c r="M12" s="745">
        <f>SUM(J12:K12)</f>
        <v>1</v>
      </c>
      <c r="N12" s="386">
        <f>N11/$P$11</f>
        <v>0.42499999999999999</v>
      </c>
      <c r="O12" s="386">
        <f>O11/P11</f>
        <v>0.57499999999999996</v>
      </c>
      <c r="P12" s="432">
        <f>SUM(N12:O12)</f>
        <v>1</v>
      </c>
      <c r="Q12" s="382">
        <v>0.24</v>
      </c>
      <c r="R12" s="382">
        <v>0.76</v>
      </c>
      <c r="S12" s="382">
        <v>1</v>
      </c>
      <c r="T12" s="222">
        <f>T11/V11</f>
        <v>0.2231404958677686</v>
      </c>
      <c r="U12" s="222">
        <f>U11/V11</f>
        <v>0.77685950413223137</v>
      </c>
      <c r="V12" s="384">
        <f>SUM(T12:U12)</f>
        <v>1</v>
      </c>
      <c r="W12" s="384">
        <f>W11/Y11</f>
        <v>0.2196078431372549</v>
      </c>
      <c r="X12" s="384">
        <f>X11/Y11</f>
        <v>0.7803921568627451</v>
      </c>
      <c r="Y12" s="384">
        <f>SUM(W12:X12)</f>
        <v>1</v>
      </c>
      <c r="Z12" s="222">
        <f>Z11/AB11</f>
        <v>0.19572953736654805</v>
      </c>
      <c r="AA12" s="222">
        <f>AA11/AB11</f>
        <v>0.80427046263345192</v>
      </c>
      <c r="AB12" s="384">
        <f>SUM(Z12:AA12)</f>
        <v>1</v>
      </c>
      <c r="AC12" s="381">
        <f>AC11/AE11</f>
        <v>0.19784172661870503</v>
      </c>
      <c r="AD12" s="381">
        <f>AD11/AE11</f>
        <v>0.80215827338129497</v>
      </c>
      <c r="AE12" s="382">
        <f>SUM(AC12:AD12)</f>
        <v>1</v>
      </c>
      <c r="AF12" s="60"/>
    </row>
    <row r="13" spans="2:33" s="28" customFormat="1" ht="26.85" customHeight="1" x14ac:dyDescent="0.2">
      <c r="B13" s="932" t="s">
        <v>227</v>
      </c>
      <c r="C13" s="932"/>
      <c r="D13" s="932"/>
      <c r="E13" s="932"/>
      <c r="F13" s="932"/>
      <c r="G13" s="932"/>
      <c r="H13" s="932"/>
      <c r="I13" s="932"/>
      <c r="J13" s="932"/>
      <c r="K13" s="932"/>
      <c r="L13" s="932"/>
      <c r="M13" s="932"/>
      <c r="N13" s="932"/>
      <c r="O13" s="932"/>
      <c r="P13" s="932"/>
      <c r="Q13" s="932"/>
      <c r="R13" s="932"/>
      <c r="S13" s="932"/>
      <c r="T13" s="932"/>
      <c r="U13" s="932"/>
      <c r="V13" s="932"/>
      <c r="W13" s="932"/>
      <c r="X13" s="932"/>
      <c r="Y13" s="932"/>
      <c r="Z13" s="932"/>
      <c r="AA13" s="932"/>
      <c r="AB13" s="932"/>
      <c r="AC13" s="932"/>
      <c r="AD13" s="932"/>
      <c r="AE13" s="932"/>
      <c r="AF13" s="60"/>
      <c r="AG13" s="50"/>
    </row>
    <row r="14" spans="2:33" ht="50.1" customHeight="1" x14ac:dyDescent="0.2">
      <c r="B14" s="320"/>
      <c r="C14" s="320"/>
      <c r="D14" s="320"/>
      <c r="E14" s="320"/>
      <c r="F14" s="321"/>
      <c r="G14" s="321"/>
      <c r="H14" s="321"/>
      <c r="I14" s="322"/>
      <c r="J14" s="729"/>
      <c r="K14" s="729"/>
      <c r="L14" s="729"/>
      <c r="M14" s="730"/>
      <c r="N14" s="323"/>
      <c r="O14" s="323"/>
      <c r="P14" s="324"/>
      <c r="Q14" s="280"/>
      <c r="R14" s="280"/>
      <c r="S14" s="280"/>
      <c r="T14" s="325"/>
      <c r="U14" s="325"/>
      <c r="V14" s="326"/>
      <c r="W14" s="326"/>
      <c r="X14" s="326"/>
      <c r="Y14" s="326"/>
      <c r="Z14" s="325"/>
      <c r="AA14" s="325"/>
      <c r="AB14" s="326"/>
      <c r="AC14" s="279"/>
      <c r="AD14" s="279"/>
      <c r="AE14" s="280"/>
      <c r="AF14" s="60"/>
    </row>
    <row r="15" spans="2:33" ht="26.85" customHeight="1" x14ac:dyDescent="0.2">
      <c r="B15" s="6" t="s">
        <v>106</v>
      </c>
      <c r="C15" s="6"/>
      <c r="D15" s="7" t="s">
        <v>9</v>
      </c>
      <c r="E15" s="7"/>
      <c r="F15" s="930" t="s">
        <v>10</v>
      </c>
      <c r="G15" s="930"/>
      <c r="H15" s="930"/>
      <c r="I15" s="930"/>
      <c r="J15" s="980" t="s">
        <v>11</v>
      </c>
      <c r="K15" s="980"/>
      <c r="L15" s="980"/>
      <c r="M15" s="980"/>
      <c r="N15" s="981" t="s">
        <v>12</v>
      </c>
      <c r="O15" s="981"/>
      <c r="P15" s="981"/>
      <c r="Q15" s="981" t="s">
        <v>13</v>
      </c>
      <c r="R15" s="981"/>
      <c r="S15" s="981"/>
      <c r="T15" s="981" t="s">
        <v>14</v>
      </c>
      <c r="U15" s="981"/>
      <c r="V15" s="981"/>
      <c r="W15" s="981" t="s">
        <v>15</v>
      </c>
      <c r="X15" s="981"/>
      <c r="Y15" s="981"/>
      <c r="Z15" s="981" t="s">
        <v>16</v>
      </c>
      <c r="AA15" s="981"/>
      <c r="AB15" s="981"/>
      <c r="AC15" s="981" t="s">
        <v>17</v>
      </c>
      <c r="AD15" s="981"/>
      <c r="AE15" s="981"/>
      <c r="AF15" s="50"/>
    </row>
    <row r="16" spans="2:33" ht="26.85" customHeight="1" x14ac:dyDescent="0.25">
      <c r="B16" s="294"/>
      <c r="C16" s="294"/>
      <c r="D16" s="180"/>
      <c r="E16" s="180"/>
      <c r="F16" s="182" t="s">
        <v>99</v>
      </c>
      <c r="G16" s="182" t="s">
        <v>100</v>
      </c>
      <c r="H16" s="532" t="s">
        <v>101</v>
      </c>
      <c r="I16" s="182" t="s">
        <v>102</v>
      </c>
      <c r="J16" s="452" t="s">
        <v>99</v>
      </c>
      <c r="K16" s="452" t="s">
        <v>100</v>
      </c>
      <c r="L16" s="690" t="s">
        <v>101</v>
      </c>
      <c r="M16" s="452" t="s">
        <v>102</v>
      </c>
      <c r="N16" s="183" t="s">
        <v>99</v>
      </c>
      <c r="O16" s="183" t="s">
        <v>100</v>
      </c>
      <c r="P16" s="183" t="s">
        <v>102</v>
      </c>
      <c r="Q16" s="183" t="s">
        <v>99</v>
      </c>
      <c r="R16" s="183" t="s">
        <v>100</v>
      </c>
      <c r="S16" s="183" t="s">
        <v>102</v>
      </c>
      <c r="T16" s="183" t="s">
        <v>99</v>
      </c>
      <c r="U16" s="183" t="s">
        <v>100</v>
      </c>
      <c r="V16" s="183" t="s">
        <v>102</v>
      </c>
      <c r="W16" s="183" t="s">
        <v>99</v>
      </c>
      <c r="X16" s="183" t="s">
        <v>100</v>
      </c>
      <c r="Y16" s="183" t="s">
        <v>102</v>
      </c>
      <c r="Z16" s="183" t="s">
        <v>99</v>
      </c>
      <c r="AA16" s="183" t="s">
        <v>100</v>
      </c>
      <c r="AB16" s="183" t="s">
        <v>102</v>
      </c>
      <c r="AC16" s="183" t="s">
        <v>99</v>
      </c>
      <c r="AD16" s="183" t="s">
        <v>100</v>
      </c>
      <c r="AE16" s="183" t="s">
        <v>102</v>
      </c>
      <c r="AF16" s="58"/>
    </row>
    <row r="17" spans="2:32" ht="26.85" customHeight="1" x14ac:dyDescent="0.25">
      <c r="B17" s="198" t="s">
        <v>228</v>
      </c>
      <c r="C17" s="198"/>
      <c r="D17" s="180" t="s">
        <v>31</v>
      </c>
      <c r="E17" s="180"/>
      <c r="F17" s="457">
        <f>SUM(F18:F22)/$F$5</f>
        <v>0.46575342465753422</v>
      </c>
      <c r="G17" s="457">
        <f>SUM(G18:G22)/$F$5</f>
        <v>0.50684931506849318</v>
      </c>
      <c r="H17" s="750" t="s">
        <v>23</v>
      </c>
      <c r="I17" s="458">
        <f>SUM(F17:G17)</f>
        <v>0.9726027397260274</v>
      </c>
      <c r="J17" s="744">
        <f>SUM(J18:J22)/$J$5</f>
        <v>0.43055555555555558</v>
      </c>
      <c r="K17" s="744">
        <f>SUM(K18:K22)/$J$5</f>
        <v>0.54166666666666663</v>
      </c>
      <c r="L17" s="721" t="s">
        <v>23</v>
      </c>
      <c r="M17" s="746">
        <f>SUM(J17:K17)</f>
        <v>0.97222222222222221</v>
      </c>
      <c r="N17" s="386">
        <f>N24/P11</f>
        <v>0.375</v>
      </c>
      <c r="O17" s="386">
        <f>O24/P11</f>
        <v>0.57499999999999996</v>
      </c>
      <c r="P17" s="432">
        <f>P24/P11</f>
        <v>0.95</v>
      </c>
      <c r="Q17" s="381">
        <v>0.20480000000000001</v>
      </c>
      <c r="R17" s="381">
        <v>0.755</v>
      </c>
      <c r="S17" s="382">
        <v>0.95979999999999999</v>
      </c>
      <c r="T17" s="222">
        <v>0.18179999999999999</v>
      </c>
      <c r="U17" s="222">
        <v>0.77690000000000003</v>
      </c>
      <c r="V17" s="381">
        <f>SUM(T17:U17)</f>
        <v>0.9587</v>
      </c>
      <c r="W17" s="381">
        <v>0.1686</v>
      </c>
      <c r="X17" s="382">
        <v>0.78039999999999998</v>
      </c>
      <c r="Y17" s="381">
        <f>SUM(W17:X17)</f>
        <v>0.94899999999999995</v>
      </c>
      <c r="Z17" s="382">
        <v>0.14949999999999999</v>
      </c>
      <c r="AA17" s="381">
        <v>0.80430000000000001</v>
      </c>
      <c r="AB17" s="381">
        <f>SUM(Z17:AA17)</f>
        <v>0.95379999999999998</v>
      </c>
      <c r="AC17" s="381">
        <v>0.14749999999999999</v>
      </c>
      <c r="AD17" s="381">
        <v>0.79859999999999998</v>
      </c>
      <c r="AE17" s="381">
        <f>SUM(AC17:AD17)</f>
        <v>0.94609999999999994</v>
      </c>
      <c r="AF17" s="61"/>
    </row>
    <row r="18" spans="2:32" ht="26.85" customHeight="1" x14ac:dyDescent="0.25">
      <c r="B18" s="347" t="s">
        <v>108</v>
      </c>
      <c r="C18" s="347"/>
      <c r="D18" s="180" t="s">
        <v>25</v>
      </c>
      <c r="E18" s="180"/>
      <c r="F18" s="456">
        <v>1</v>
      </c>
      <c r="G18" s="456">
        <v>1</v>
      </c>
      <c r="H18" s="750" t="s">
        <v>23</v>
      </c>
      <c r="I18" s="456">
        <f>SUM(F18:G18)</f>
        <v>2</v>
      </c>
      <c r="J18" s="699" t="s">
        <v>23</v>
      </c>
      <c r="K18" s="699">
        <v>1</v>
      </c>
      <c r="L18" s="721" t="s">
        <v>23</v>
      </c>
      <c r="M18" s="699">
        <f>SUM(J18:K18)</f>
        <v>1</v>
      </c>
      <c r="N18" s="373">
        <v>0</v>
      </c>
      <c r="O18" s="373">
        <v>0</v>
      </c>
      <c r="P18" s="373">
        <f>SUM(N18:O18)</f>
        <v>0</v>
      </c>
      <c r="Q18" s="372" t="s">
        <v>23</v>
      </c>
      <c r="R18" s="372" t="s">
        <v>23</v>
      </c>
      <c r="S18" s="372" t="s">
        <v>23</v>
      </c>
      <c r="T18" s="372" t="s">
        <v>23</v>
      </c>
      <c r="U18" s="372" t="s">
        <v>23</v>
      </c>
      <c r="V18" s="372" t="s">
        <v>23</v>
      </c>
      <c r="W18" s="372" t="s">
        <v>23</v>
      </c>
      <c r="X18" s="372" t="s">
        <v>23</v>
      </c>
      <c r="Y18" s="372" t="s">
        <v>23</v>
      </c>
      <c r="Z18" s="372" t="s">
        <v>23</v>
      </c>
      <c r="AA18" s="372" t="s">
        <v>23</v>
      </c>
      <c r="AB18" s="372" t="s">
        <v>23</v>
      </c>
      <c r="AC18" s="372" t="s">
        <v>23</v>
      </c>
      <c r="AD18" s="372" t="s">
        <v>23</v>
      </c>
      <c r="AE18" s="372" t="s">
        <v>23</v>
      </c>
      <c r="AF18" s="62"/>
    </row>
    <row r="19" spans="2:32" ht="26.85" customHeight="1" x14ac:dyDescent="0.25">
      <c r="B19" s="347" t="s">
        <v>229</v>
      </c>
      <c r="C19" s="347"/>
      <c r="D19" s="180" t="s">
        <v>25</v>
      </c>
      <c r="E19" s="180"/>
      <c r="F19" s="456">
        <v>20</v>
      </c>
      <c r="G19" s="456">
        <v>21</v>
      </c>
      <c r="H19" s="750" t="s">
        <v>23</v>
      </c>
      <c r="I19" s="456">
        <f>SUM(F19:G19)</f>
        <v>41</v>
      </c>
      <c r="J19" s="699">
        <v>19</v>
      </c>
      <c r="K19" s="699">
        <v>21</v>
      </c>
      <c r="L19" s="721" t="s">
        <v>23</v>
      </c>
      <c r="M19" s="699">
        <f>SUM(J19:K19)</f>
        <v>40</v>
      </c>
      <c r="N19" s="373">
        <v>19</v>
      </c>
      <c r="O19" s="373">
        <v>24</v>
      </c>
      <c r="P19" s="373">
        <f>SUM(N19:O19)</f>
        <v>43</v>
      </c>
      <c r="Q19" s="372" t="s">
        <v>23</v>
      </c>
      <c r="R19" s="372" t="s">
        <v>23</v>
      </c>
      <c r="S19" s="372" t="s">
        <v>23</v>
      </c>
      <c r="T19" s="372" t="s">
        <v>23</v>
      </c>
      <c r="U19" s="372" t="s">
        <v>23</v>
      </c>
      <c r="V19" s="372" t="s">
        <v>23</v>
      </c>
      <c r="W19" s="372" t="s">
        <v>23</v>
      </c>
      <c r="X19" s="372" t="s">
        <v>23</v>
      </c>
      <c r="Y19" s="372" t="s">
        <v>23</v>
      </c>
      <c r="Z19" s="372" t="s">
        <v>23</v>
      </c>
      <c r="AA19" s="372" t="s">
        <v>23</v>
      </c>
      <c r="AB19" s="372" t="s">
        <v>23</v>
      </c>
      <c r="AC19" s="372" t="s">
        <v>23</v>
      </c>
      <c r="AD19" s="372" t="s">
        <v>23</v>
      </c>
      <c r="AE19" s="372" t="s">
        <v>23</v>
      </c>
      <c r="AF19" s="62"/>
    </row>
    <row r="20" spans="2:32" ht="26.85" customHeight="1" x14ac:dyDescent="0.25">
      <c r="B20" s="347" t="s">
        <v>110</v>
      </c>
      <c r="C20" s="347"/>
      <c r="D20" s="180" t="s">
        <v>25</v>
      </c>
      <c r="E20" s="180"/>
      <c r="F20" s="456">
        <v>13</v>
      </c>
      <c r="G20" s="456">
        <v>15</v>
      </c>
      <c r="H20" s="750" t="s">
        <v>23</v>
      </c>
      <c r="I20" s="456">
        <f>SUM(F20:G20)</f>
        <v>28</v>
      </c>
      <c r="J20" s="699">
        <v>12</v>
      </c>
      <c r="K20" s="699">
        <v>17</v>
      </c>
      <c r="L20" s="721" t="s">
        <v>23</v>
      </c>
      <c r="M20" s="699">
        <f>SUM(J20:K20)</f>
        <v>29</v>
      </c>
      <c r="N20" s="373">
        <v>11</v>
      </c>
      <c r="O20" s="373">
        <v>22</v>
      </c>
      <c r="P20" s="373">
        <f>SUM(N20:O20)</f>
        <v>33</v>
      </c>
      <c r="Q20" s="372" t="s">
        <v>23</v>
      </c>
      <c r="R20" s="372" t="s">
        <v>23</v>
      </c>
      <c r="S20" s="372" t="s">
        <v>23</v>
      </c>
      <c r="T20" s="372" t="s">
        <v>23</v>
      </c>
      <c r="U20" s="372" t="s">
        <v>23</v>
      </c>
      <c r="V20" s="372" t="s">
        <v>23</v>
      </c>
      <c r="W20" s="372" t="s">
        <v>23</v>
      </c>
      <c r="X20" s="372" t="s">
        <v>23</v>
      </c>
      <c r="Y20" s="372" t="s">
        <v>23</v>
      </c>
      <c r="Z20" s="372" t="s">
        <v>23</v>
      </c>
      <c r="AA20" s="372" t="s">
        <v>23</v>
      </c>
      <c r="AB20" s="372" t="s">
        <v>23</v>
      </c>
      <c r="AC20" s="372" t="s">
        <v>23</v>
      </c>
      <c r="AD20" s="372" t="s">
        <v>23</v>
      </c>
      <c r="AE20" s="372" t="s">
        <v>23</v>
      </c>
      <c r="AF20" s="62"/>
    </row>
    <row r="21" spans="2:32" ht="26.85" customHeight="1" x14ac:dyDescent="0.25">
      <c r="B21" s="347" t="s">
        <v>111</v>
      </c>
      <c r="C21" s="347"/>
      <c r="D21" s="180" t="s">
        <v>25</v>
      </c>
      <c r="E21" s="180"/>
      <c r="F21" s="750" t="s">
        <v>23</v>
      </c>
      <c r="G21" s="750" t="s">
        <v>23</v>
      </c>
      <c r="H21" s="750" t="s">
        <v>23</v>
      </c>
      <c r="I21" s="750" t="s">
        <v>23</v>
      </c>
      <c r="J21" s="721" t="s">
        <v>23</v>
      </c>
      <c r="K21" s="721" t="s">
        <v>23</v>
      </c>
      <c r="L21" s="721" t="s">
        <v>23</v>
      </c>
      <c r="M21" s="721" t="s">
        <v>23</v>
      </c>
      <c r="N21" s="380" t="s">
        <v>23</v>
      </c>
      <c r="O21" s="380" t="s">
        <v>23</v>
      </c>
      <c r="P21" s="380" t="s">
        <v>23</v>
      </c>
      <c r="Q21" s="380" t="s">
        <v>23</v>
      </c>
      <c r="R21" s="372" t="s">
        <v>23</v>
      </c>
      <c r="S21" s="372" t="s">
        <v>23</v>
      </c>
      <c r="T21" s="372" t="s">
        <v>23</v>
      </c>
      <c r="U21" s="372" t="s">
        <v>23</v>
      </c>
      <c r="V21" s="372" t="s">
        <v>23</v>
      </c>
      <c r="W21" s="372" t="s">
        <v>23</v>
      </c>
      <c r="X21" s="372" t="s">
        <v>23</v>
      </c>
      <c r="Y21" s="372" t="s">
        <v>23</v>
      </c>
      <c r="Z21" s="372" t="s">
        <v>23</v>
      </c>
      <c r="AA21" s="372" t="s">
        <v>23</v>
      </c>
      <c r="AB21" s="372" t="s">
        <v>23</v>
      </c>
      <c r="AC21" s="372" t="s">
        <v>23</v>
      </c>
      <c r="AD21" s="372" t="s">
        <v>23</v>
      </c>
      <c r="AE21" s="372" t="s">
        <v>23</v>
      </c>
      <c r="AF21" s="62"/>
    </row>
    <row r="22" spans="2:32" ht="26.85" customHeight="1" x14ac:dyDescent="0.25">
      <c r="B22" s="347" t="s">
        <v>112</v>
      </c>
      <c r="C22" s="347"/>
      <c r="D22" s="180" t="s">
        <v>25</v>
      </c>
      <c r="E22" s="180"/>
      <c r="F22" s="750" t="s">
        <v>23</v>
      </c>
      <c r="G22" s="750" t="s">
        <v>23</v>
      </c>
      <c r="H22" s="750" t="s">
        <v>23</v>
      </c>
      <c r="I22" s="750" t="s">
        <v>23</v>
      </c>
      <c r="J22" s="721" t="s">
        <v>23</v>
      </c>
      <c r="K22" s="721" t="s">
        <v>23</v>
      </c>
      <c r="L22" s="721" t="s">
        <v>23</v>
      </c>
      <c r="M22" s="721" t="s">
        <v>23</v>
      </c>
      <c r="N22" s="380" t="s">
        <v>23</v>
      </c>
      <c r="O22" s="380" t="s">
        <v>23</v>
      </c>
      <c r="P22" s="380" t="s">
        <v>23</v>
      </c>
      <c r="Q22" s="380" t="s">
        <v>23</v>
      </c>
      <c r="R22" s="372" t="s">
        <v>23</v>
      </c>
      <c r="S22" s="372" t="s">
        <v>23</v>
      </c>
      <c r="T22" s="372" t="s">
        <v>23</v>
      </c>
      <c r="U22" s="372" t="s">
        <v>23</v>
      </c>
      <c r="V22" s="372" t="s">
        <v>23</v>
      </c>
      <c r="W22" s="372" t="s">
        <v>23</v>
      </c>
      <c r="X22" s="372" t="s">
        <v>23</v>
      </c>
      <c r="Y22" s="372" t="s">
        <v>23</v>
      </c>
      <c r="Z22" s="372" t="s">
        <v>23</v>
      </c>
      <c r="AA22" s="372" t="s">
        <v>23</v>
      </c>
      <c r="AB22" s="372" t="s">
        <v>23</v>
      </c>
      <c r="AC22" s="372" t="s">
        <v>23</v>
      </c>
      <c r="AD22" s="372" t="s">
        <v>23</v>
      </c>
      <c r="AE22" s="372" t="s">
        <v>23</v>
      </c>
      <c r="AF22" s="62"/>
    </row>
    <row r="23" spans="2:32" ht="26.85" customHeight="1" x14ac:dyDescent="0.25">
      <c r="B23" s="345" t="s">
        <v>230</v>
      </c>
      <c r="C23" s="344"/>
      <c r="D23" s="180" t="s">
        <v>25</v>
      </c>
      <c r="E23" s="180"/>
      <c r="F23" s="750" t="s">
        <v>23</v>
      </c>
      <c r="G23" s="750" t="s">
        <v>23</v>
      </c>
      <c r="H23" s="750" t="s">
        <v>23</v>
      </c>
      <c r="I23" s="750" t="s">
        <v>23</v>
      </c>
      <c r="J23" s="721" t="s">
        <v>23</v>
      </c>
      <c r="K23" s="721" t="s">
        <v>23</v>
      </c>
      <c r="L23" s="721" t="s">
        <v>23</v>
      </c>
      <c r="M23" s="721" t="s">
        <v>23</v>
      </c>
      <c r="N23" s="380" t="s">
        <v>23</v>
      </c>
      <c r="O23" s="380" t="s">
        <v>23</v>
      </c>
      <c r="P23" s="380" t="s">
        <v>23</v>
      </c>
      <c r="Q23" s="380" t="s">
        <v>23</v>
      </c>
      <c r="R23" s="372" t="s">
        <v>23</v>
      </c>
      <c r="S23" s="372" t="s">
        <v>23</v>
      </c>
      <c r="T23" s="372" t="s">
        <v>23</v>
      </c>
      <c r="U23" s="372" t="s">
        <v>23</v>
      </c>
      <c r="V23" s="372" t="s">
        <v>23</v>
      </c>
      <c r="W23" s="372" t="s">
        <v>23</v>
      </c>
      <c r="X23" s="372" t="s">
        <v>23</v>
      </c>
      <c r="Y23" s="372" t="s">
        <v>23</v>
      </c>
      <c r="Z23" s="372" t="s">
        <v>23</v>
      </c>
      <c r="AA23" s="372" t="s">
        <v>23</v>
      </c>
      <c r="AB23" s="372" t="s">
        <v>23</v>
      </c>
      <c r="AC23" s="372" t="s">
        <v>23</v>
      </c>
      <c r="AD23" s="372" t="s">
        <v>23</v>
      </c>
      <c r="AE23" s="372" t="s">
        <v>23</v>
      </c>
      <c r="AF23" s="62"/>
    </row>
    <row r="24" spans="2:32" ht="26.85" customHeight="1" x14ac:dyDescent="0.25">
      <c r="B24" s="347" t="s">
        <v>102</v>
      </c>
      <c r="C24" s="347"/>
      <c r="D24" s="193" t="s">
        <v>25</v>
      </c>
      <c r="E24" s="193"/>
      <c r="F24" s="456">
        <f t="shared" ref="F24:I24" si="0">SUM(F18:F23)</f>
        <v>34</v>
      </c>
      <c r="G24" s="456">
        <f t="shared" si="0"/>
        <v>37</v>
      </c>
      <c r="H24" s="750" t="s">
        <v>23</v>
      </c>
      <c r="I24" s="456">
        <f t="shared" si="0"/>
        <v>71</v>
      </c>
      <c r="J24" s="689">
        <f t="shared" ref="J24:M24" si="1">SUM(J18:J23)</f>
        <v>31</v>
      </c>
      <c r="K24" s="689">
        <f t="shared" si="1"/>
        <v>39</v>
      </c>
      <c r="L24" s="689">
        <f t="shared" si="1"/>
        <v>0</v>
      </c>
      <c r="M24" s="689">
        <f t="shared" si="1"/>
        <v>70</v>
      </c>
      <c r="N24" s="244">
        <f>SUM(N18:N20)</f>
        <v>30</v>
      </c>
      <c r="O24" s="244">
        <f>SUM(O18:O20)</f>
        <v>46</v>
      </c>
      <c r="P24" s="244">
        <f>SUM(P18:P20)</f>
        <v>76</v>
      </c>
      <c r="Q24" s="380" t="s">
        <v>23</v>
      </c>
      <c r="R24" s="372" t="s">
        <v>23</v>
      </c>
      <c r="S24" s="372" t="s">
        <v>23</v>
      </c>
      <c r="T24" s="372" t="s">
        <v>23</v>
      </c>
      <c r="U24" s="372" t="s">
        <v>23</v>
      </c>
      <c r="V24" s="372" t="s">
        <v>23</v>
      </c>
      <c r="W24" s="372" t="s">
        <v>23</v>
      </c>
      <c r="X24" s="372" t="s">
        <v>23</v>
      </c>
      <c r="Y24" s="372" t="s">
        <v>23</v>
      </c>
      <c r="Z24" s="372" t="s">
        <v>23</v>
      </c>
      <c r="AA24" s="372" t="s">
        <v>23</v>
      </c>
      <c r="AB24" s="372" t="s">
        <v>23</v>
      </c>
      <c r="AC24" s="372" t="s">
        <v>23</v>
      </c>
      <c r="AD24" s="372" t="s">
        <v>23</v>
      </c>
      <c r="AE24" s="372" t="s">
        <v>23</v>
      </c>
      <c r="AF24" s="62"/>
    </row>
    <row r="25" spans="2:32" ht="26.85" customHeight="1" x14ac:dyDescent="0.25">
      <c r="B25" s="198" t="s">
        <v>231</v>
      </c>
      <c r="C25" s="198"/>
      <c r="D25" s="180" t="s">
        <v>31</v>
      </c>
      <c r="E25" s="180"/>
      <c r="F25" s="457">
        <f>SUM(F26:F30)/$F$5</f>
        <v>2.7397260273972601E-2</v>
      </c>
      <c r="G25" s="458">
        <f>SUM(G26:G30)/$F$5</f>
        <v>0</v>
      </c>
      <c r="H25" s="750" t="s">
        <v>23</v>
      </c>
      <c r="I25" s="458">
        <f>SUM(F25:G25)</f>
        <v>2.7397260273972601E-2</v>
      </c>
      <c r="J25" s="744">
        <f>SUM(J26:J30)/$J$5</f>
        <v>2.7777777777777776E-2</v>
      </c>
      <c r="K25" s="746">
        <f>SUM(K26:K30)/$J$5</f>
        <v>0</v>
      </c>
      <c r="L25" s="721" t="s">
        <v>23</v>
      </c>
      <c r="M25" s="746">
        <f>SUM(J25:K25)</f>
        <v>2.7777777777777776E-2</v>
      </c>
      <c r="N25" s="383">
        <f>N32/P11</f>
        <v>0.05</v>
      </c>
      <c r="O25" s="383">
        <f>O32/P11</f>
        <v>0</v>
      </c>
      <c r="P25" s="383">
        <f>P32/P11</f>
        <v>0.05</v>
      </c>
      <c r="Q25" s="410">
        <v>3.61E-2</v>
      </c>
      <c r="R25" s="381">
        <v>4.0000000000000001E-3</v>
      </c>
      <c r="S25" s="382">
        <v>4.02E-2</v>
      </c>
      <c r="T25" s="222">
        <v>4.1300000000000003E-2</v>
      </c>
      <c r="U25" s="384">
        <v>0</v>
      </c>
      <c r="V25" s="222">
        <f>SUM(T25:U25)</f>
        <v>4.1300000000000003E-2</v>
      </c>
      <c r="W25" s="222">
        <v>5.0999999999999997E-2</v>
      </c>
      <c r="X25" s="384">
        <v>0</v>
      </c>
      <c r="Y25" s="222">
        <f>SUM(W25:X25)</f>
        <v>5.0999999999999997E-2</v>
      </c>
      <c r="Z25" s="222">
        <v>4.6300000000000001E-2</v>
      </c>
      <c r="AA25" s="384">
        <v>0</v>
      </c>
      <c r="AB25" s="222">
        <f>SUM(Z25:AA25)</f>
        <v>4.6300000000000001E-2</v>
      </c>
      <c r="AC25" s="382">
        <v>5.04E-2</v>
      </c>
      <c r="AD25" s="381">
        <v>3.5999999999999999E-3</v>
      </c>
      <c r="AE25" s="381">
        <f t="shared" ref="AE25" si="2">SUM(AC25:AD25)</f>
        <v>5.3999999999999999E-2</v>
      </c>
      <c r="AF25" s="61"/>
    </row>
    <row r="26" spans="2:32" ht="26.85" customHeight="1" x14ac:dyDescent="0.25">
      <c r="B26" s="347" t="s">
        <v>108</v>
      </c>
      <c r="C26" s="347"/>
      <c r="D26" s="180" t="s">
        <v>25</v>
      </c>
      <c r="E26" s="180"/>
      <c r="F26" s="750" t="s">
        <v>23</v>
      </c>
      <c r="G26" s="750" t="s">
        <v>23</v>
      </c>
      <c r="H26" s="750" t="s">
        <v>23</v>
      </c>
      <c r="I26" s="456">
        <f>SUM(F26:G26)</f>
        <v>0</v>
      </c>
      <c r="J26" s="721" t="s">
        <v>23</v>
      </c>
      <c r="K26" s="721" t="s">
        <v>23</v>
      </c>
      <c r="L26" s="721" t="s">
        <v>23</v>
      </c>
      <c r="M26" s="699">
        <f>SUM(J26:K26)</f>
        <v>0</v>
      </c>
      <c r="N26" s="244">
        <v>0</v>
      </c>
      <c r="O26" s="244">
        <v>0</v>
      </c>
      <c r="P26" s="244">
        <f>SUM(N26:O26)</f>
        <v>0</v>
      </c>
      <c r="Q26" s="380" t="s">
        <v>23</v>
      </c>
      <c r="R26" s="372" t="s">
        <v>23</v>
      </c>
      <c r="S26" s="372" t="s">
        <v>23</v>
      </c>
      <c r="T26" s="372" t="s">
        <v>23</v>
      </c>
      <c r="U26" s="372" t="s">
        <v>23</v>
      </c>
      <c r="V26" s="372" t="s">
        <v>23</v>
      </c>
      <c r="W26" s="372" t="s">
        <v>23</v>
      </c>
      <c r="X26" s="372" t="s">
        <v>23</v>
      </c>
      <c r="Y26" s="372" t="s">
        <v>23</v>
      </c>
      <c r="Z26" s="372" t="s">
        <v>23</v>
      </c>
      <c r="AA26" s="372" t="s">
        <v>23</v>
      </c>
      <c r="AB26" s="372" t="s">
        <v>23</v>
      </c>
      <c r="AC26" s="372" t="s">
        <v>23</v>
      </c>
      <c r="AD26" s="372" t="s">
        <v>23</v>
      </c>
      <c r="AE26" s="372" t="s">
        <v>23</v>
      </c>
      <c r="AF26" s="62"/>
    </row>
    <row r="27" spans="2:32" ht="26.85" customHeight="1" x14ac:dyDescent="0.25">
      <c r="B27" s="347" t="s">
        <v>109</v>
      </c>
      <c r="C27" s="347"/>
      <c r="D27" s="180" t="s">
        <v>25</v>
      </c>
      <c r="E27" s="180"/>
      <c r="F27" s="750" t="s">
        <v>23</v>
      </c>
      <c r="G27" s="750" t="s">
        <v>23</v>
      </c>
      <c r="H27" s="750" t="s">
        <v>23</v>
      </c>
      <c r="I27" s="456">
        <f t="shared" ref="I27:I28" si="3">SUM(F27:G27)</f>
        <v>0</v>
      </c>
      <c r="J27" s="721" t="s">
        <v>23</v>
      </c>
      <c r="K27" s="721" t="s">
        <v>23</v>
      </c>
      <c r="L27" s="721" t="s">
        <v>23</v>
      </c>
      <c r="M27" s="699">
        <f t="shared" ref="M27:M28" si="4">SUM(J27:K27)</f>
        <v>0</v>
      </c>
      <c r="N27" s="244">
        <v>1</v>
      </c>
      <c r="O27" s="244">
        <v>0</v>
      </c>
      <c r="P27" s="244">
        <f>SUM(N27:O27)</f>
        <v>1</v>
      </c>
      <c r="Q27" s="380" t="s">
        <v>23</v>
      </c>
      <c r="R27" s="372" t="s">
        <v>23</v>
      </c>
      <c r="S27" s="372" t="s">
        <v>23</v>
      </c>
      <c r="T27" s="372" t="s">
        <v>23</v>
      </c>
      <c r="U27" s="372" t="s">
        <v>23</v>
      </c>
      <c r="V27" s="372" t="s">
        <v>23</v>
      </c>
      <c r="W27" s="372" t="s">
        <v>23</v>
      </c>
      <c r="X27" s="372" t="s">
        <v>23</v>
      </c>
      <c r="Y27" s="372" t="s">
        <v>23</v>
      </c>
      <c r="Z27" s="372" t="s">
        <v>23</v>
      </c>
      <c r="AA27" s="372" t="s">
        <v>23</v>
      </c>
      <c r="AB27" s="372" t="s">
        <v>23</v>
      </c>
      <c r="AC27" s="372" t="s">
        <v>23</v>
      </c>
      <c r="AD27" s="372" t="s">
        <v>23</v>
      </c>
      <c r="AE27" s="372" t="s">
        <v>23</v>
      </c>
      <c r="AF27" s="62"/>
    </row>
    <row r="28" spans="2:32" ht="26.85" customHeight="1" x14ac:dyDescent="0.25">
      <c r="B28" s="345" t="s">
        <v>110</v>
      </c>
      <c r="C28" s="347"/>
      <c r="D28" s="180" t="s">
        <v>25</v>
      </c>
      <c r="E28" s="180"/>
      <c r="F28" s="456">
        <v>2</v>
      </c>
      <c r="G28" s="750" t="s">
        <v>23</v>
      </c>
      <c r="H28" s="750" t="s">
        <v>23</v>
      </c>
      <c r="I28" s="456">
        <f t="shared" si="3"/>
        <v>2</v>
      </c>
      <c r="J28" s="699">
        <v>2</v>
      </c>
      <c r="K28" s="721" t="s">
        <v>23</v>
      </c>
      <c r="L28" s="721" t="s">
        <v>23</v>
      </c>
      <c r="M28" s="699">
        <f t="shared" si="4"/>
        <v>2</v>
      </c>
      <c r="N28" s="244">
        <v>3</v>
      </c>
      <c r="O28" s="244">
        <v>0</v>
      </c>
      <c r="P28" s="244">
        <f>SUM(N28:O28)</f>
        <v>3</v>
      </c>
      <c r="Q28" s="380" t="s">
        <v>23</v>
      </c>
      <c r="R28" s="372" t="s">
        <v>23</v>
      </c>
      <c r="S28" s="372" t="s">
        <v>23</v>
      </c>
      <c r="T28" s="372" t="s">
        <v>23</v>
      </c>
      <c r="U28" s="372" t="s">
        <v>23</v>
      </c>
      <c r="V28" s="372" t="s">
        <v>23</v>
      </c>
      <c r="W28" s="372" t="s">
        <v>23</v>
      </c>
      <c r="X28" s="372" t="s">
        <v>23</v>
      </c>
      <c r="Y28" s="372" t="s">
        <v>23</v>
      </c>
      <c r="Z28" s="372" t="s">
        <v>23</v>
      </c>
      <c r="AA28" s="372" t="s">
        <v>23</v>
      </c>
      <c r="AB28" s="372" t="s">
        <v>23</v>
      </c>
      <c r="AC28" s="372" t="s">
        <v>23</v>
      </c>
      <c r="AD28" s="372" t="s">
        <v>23</v>
      </c>
      <c r="AE28" s="372" t="s">
        <v>23</v>
      </c>
      <c r="AF28" s="62"/>
    </row>
    <row r="29" spans="2:32" ht="26.85" customHeight="1" x14ac:dyDescent="0.25">
      <c r="B29" s="345" t="s">
        <v>111</v>
      </c>
      <c r="C29" s="347"/>
      <c r="D29" s="180" t="s">
        <v>25</v>
      </c>
      <c r="E29" s="180"/>
      <c r="F29" s="750" t="s">
        <v>23</v>
      </c>
      <c r="G29" s="750" t="s">
        <v>23</v>
      </c>
      <c r="H29" s="750" t="s">
        <v>23</v>
      </c>
      <c r="I29" s="750" t="s">
        <v>23</v>
      </c>
      <c r="J29" s="721" t="s">
        <v>23</v>
      </c>
      <c r="K29" s="721" t="s">
        <v>23</v>
      </c>
      <c r="L29" s="721" t="s">
        <v>23</v>
      </c>
      <c r="M29" s="721" t="s">
        <v>23</v>
      </c>
      <c r="N29" s="380" t="s">
        <v>23</v>
      </c>
      <c r="O29" s="380" t="s">
        <v>23</v>
      </c>
      <c r="P29" s="380" t="s">
        <v>23</v>
      </c>
      <c r="Q29" s="380" t="s">
        <v>23</v>
      </c>
      <c r="R29" s="372" t="s">
        <v>23</v>
      </c>
      <c r="S29" s="372" t="s">
        <v>23</v>
      </c>
      <c r="T29" s="372" t="s">
        <v>23</v>
      </c>
      <c r="U29" s="372" t="s">
        <v>23</v>
      </c>
      <c r="V29" s="372" t="s">
        <v>23</v>
      </c>
      <c r="W29" s="372" t="s">
        <v>23</v>
      </c>
      <c r="X29" s="372" t="s">
        <v>23</v>
      </c>
      <c r="Y29" s="372" t="s">
        <v>23</v>
      </c>
      <c r="Z29" s="372" t="s">
        <v>23</v>
      </c>
      <c r="AA29" s="372" t="s">
        <v>23</v>
      </c>
      <c r="AB29" s="372" t="s">
        <v>23</v>
      </c>
      <c r="AC29" s="372" t="s">
        <v>23</v>
      </c>
      <c r="AD29" s="372" t="s">
        <v>23</v>
      </c>
      <c r="AE29" s="372" t="s">
        <v>23</v>
      </c>
      <c r="AF29" s="62"/>
    </row>
    <row r="30" spans="2:32" ht="26.85" customHeight="1" x14ac:dyDescent="0.25">
      <c r="B30" s="345" t="s">
        <v>112</v>
      </c>
      <c r="C30" s="347"/>
      <c r="D30" s="180" t="s">
        <v>25</v>
      </c>
      <c r="E30" s="180"/>
      <c r="F30" s="750" t="s">
        <v>23</v>
      </c>
      <c r="G30" s="750" t="s">
        <v>23</v>
      </c>
      <c r="H30" s="750" t="s">
        <v>23</v>
      </c>
      <c r="I30" s="750" t="s">
        <v>23</v>
      </c>
      <c r="J30" s="721" t="s">
        <v>23</v>
      </c>
      <c r="K30" s="721" t="s">
        <v>23</v>
      </c>
      <c r="L30" s="721" t="s">
        <v>23</v>
      </c>
      <c r="M30" s="721" t="s">
        <v>23</v>
      </c>
      <c r="N30" s="380" t="s">
        <v>23</v>
      </c>
      <c r="O30" s="380" t="s">
        <v>23</v>
      </c>
      <c r="P30" s="380" t="s">
        <v>23</v>
      </c>
      <c r="Q30" s="380" t="s">
        <v>23</v>
      </c>
      <c r="R30" s="372" t="s">
        <v>23</v>
      </c>
      <c r="S30" s="372" t="s">
        <v>23</v>
      </c>
      <c r="T30" s="372" t="s">
        <v>23</v>
      </c>
      <c r="U30" s="372" t="s">
        <v>23</v>
      </c>
      <c r="V30" s="372" t="s">
        <v>23</v>
      </c>
      <c r="W30" s="372" t="s">
        <v>23</v>
      </c>
      <c r="X30" s="372" t="s">
        <v>23</v>
      </c>
      <c r="Y30" s="372" t="s">
        <v>23</v>
      </c>
      <c r="Z30" s="372" t="s">
        <v>23</v>
      </c>
      <c r="AA30" s="372" t="s">
        <v>23</v>
      </c>
      <c r="AB30" s="372" t="s">
        <v>23</v>
      </c>
      <c r="AC30" s="372" t="s">
        <v>23</v>
      </c>
      <c r="AD30" s="372" t="s">
        <v>23</v>
      </c>
      <c r="AE30" s="372" t="s">
        <v>23</v>
      </c>
      <c r="AF30" s="62"/>
    </row>
    <row r="31" spans="2:32" ht="26.85" customHeight="1" x14ac:dyDescent="0.25">
      <c r="B31" s="345" t="s">
        <v>230</v>
      </c>
      <c r="C31" s="344"/>
      <c r="D31" s="180" t="s">
        <v>25</v>
      </c>
      <c r="E31" s="180"/>
      <c r="F31" s="750" t="s">
        <v>23</v>
      </c>
      <c r="G31" s="750" t="s">
        <v>23</v>
      </c>
      <c r="H31" s="750" t="s">
        <v>23</v>
      </c>
      <c r="I31" s="750" t="s">
        <v>23</v>
      </c>
      <c r="J31" s="721" t="s">
        <v>23</v>
      </c>
      <c r="K31" s="721" t="s">
        <v>23</v>
      </c>
      <c r="L31" s="721" t="s">
        <v>23</v>
      </c>
      <c r="M31" s="721" t="s">
        <v>23</v>
      </c>
      <c r="N31" s="380" t="s">
        <v>23</v>
      </c>
      <c r="O31" s="380" t="s">
        <v>23</v>
      </c>
      <c r="P31" s="380" t="s">
        <v>23</v>
      </c>
      <c r="Q31" s="380" t="s">
        <v>23</v>
      </c>
      <c r="R31" s="372" t="s">
        <v>23</v>
      </c>
      <c r="S31" s="372" t="s">
        <v>23</v>
      </c>
      <c r="T31" s="372" t="s">
        <v>23</v>
      </c>
      <c r="U31" s="372" t="s">
        <v>23</v>
      </c>
      <c r="V31" s="372" t="s">
        <v>23</v>
      </c>
      <c r="W31" s="372" t="s">
        <v>23</v>
      </c>
      <c r="X31" s="372" t="s">
        <v>23</v>
      </c>
      <c r="Y31" s="372" t="s">
        <v>23</v>
      </c>
      <c r="Z31" s="372" t="s">
        <v>23</v>
      </c>
      <c r="AA31" s="372" t="s">
        <v>23</v>
      </c>
      <c r="AB31" s="372" t="s">
        <v>23</v>
      </c>
      <c r="AC31" s="372" t="s">
        <v>23</v>
      </c>
      <c r="AD31" s="372" t="s">
        <v>23</v>
      </c>
      <c r="AE31" s="372" t="s">
        <v>23</v>
      </c>
      <c r="AF31" s="62"/>
    </row>
    <row r="32" spans="2:32" ht="26.85" customHeight="1" x14ac:dyDescent="0.25">
      <c r="B32" s="345" t="s">
        <v>102</v>
      </c>
      <c r="C32" s="347"/>
      <c r="D32" s="193" t="s">
        <v>25</v>
      </c>
      <c r="E32" s="193"/>
      <c r="F32" s="456">
        <f t="shared" ref="F32:I32" si="5">SUM(F26:F31)</f>
        <v>2</v>
      </c>
      <c r="G32" s="750" t="s">
        <v>23</v>
      </c>
      <c r="H32" s="750" t="s">
        <v>23</v>
      </c>
      <c r="I32" s="456">
        <f t="shared" si="5"/>
        <v>2</v>
      </c>
      <c r="J32" s="699">
        <f t="shared" ref="J32:M32" si="6">SUM(J26:J31)</f>
        <v>2</v>
      </c>
      <c r="K32" s="699">
        <f t="shared" si="6"/>
        <v>0</v>
      </c>
      <c r="L32" s="699">
        <f t="shared" si="6"/>
        <v>0</v>
      </c>
      <c r="M32" s="699">
        <f t="shared" si="6"/>
        <v>2</v>
      </c>
      <c r="N32" s="244">
        <f>SUM(N26:N28)</f>
        <v>4</v>
      </c>
      <c r="O32" s="244">
        <f>SUM(O26:O28)</f>
        <v>0</v>
      </c>
      <c r="P32" s="244">
        <f>SUM(P26:P28)</f>
        <v>4</v>
      </c>
      <c r="Q32" s="380" t="s">
        <v>23</v>
      </c>
      <c r="R32" s="372" t="s">
        <v>23</v>
      </c>
      <c r="S32" s="372" t="s">
        <v>23</v>
      </c>
      <c r="T32" s="372" t="s">
        <v>23</v>
      </c>
      <c r="U32" s="372" t="s">
        <v>23</v>
      </c>
      <c r="V32" s="372" t="s">
        <v>23</v>
      </c>
      <c r="W32" s="372" t="s">
        <v>23</v>
      </c>
      <c r="X32" s="372" t="s">
        <v>23</v>
      </c>
      <c r="Y32" s="372" t="s">
        <v>23</v>
      </c>
      <c r="Z32" s="372" t="s">
        <v>23</v>
      </c>
      <c r="AA32" s="372" t="s">
        <v>23</v>
      </c>
      <c r="AB32" s="372" t="s">
        <v>23</v>
      </c>
      <c r="AC32" s="372" t="s">
        <v>23</v>
      </c>
      <c r="AD32" s="372" t="s">
        <v>23</v>
      </c>
      <c r="AE32" s="372" t="s">
        <v>23</v>
      </c>
      <c r="AF32" s="62"/>
    </row>
    <row r="33" spans="2:33" ht="26.85" customHeight="1" x14ac:dyDescent="0.25">
      <c r="B33" s="246" t="s">
        <v>115</v>
      </c>
      <c r="C33" s="367"/>
      <c r="D33" s="180" t="s">
        <v>31</v>
      </c>
      <c r="E33" s="180"/>
      <c r="F33" s="750" t="s">
        <v>23</v>
      </c>
      <c r="G33" s="750" t="s">
        <v>23</v>
      </c>
      <c r="H33" s="750" t="s">
        <v>23</v>
      </c>
      <c r="I33" s="458">
        <v>0</v>
      </c>
      <c r="J33" s="721" t="s">
        <v>23</v>
      </c>
      <c r="K33" s="721" t="s">
        <v>23</v>
      </c>
      <c r="L33" s="721" t="s">
        <v>23</v>
      </c>
      <c r="M33" s="746">
        <f>SUM(J33:K33)</f>
        <v>0</v>
      </c>
      <c r="N33" s="432">
        <v>0</v>
      </c>
      <c r="O33" s="432">
        <v>0</v>
      </c>
      <c r="P33" s="432">
        <f>SUM(N33:O33)</f>
        <v>0</v>
      </c>
      <c r="Q33" s="372" t="s">
        <v>23</v>
      </c>
      <c r="R33" s="372" t="s">
        <v>23</v>
      </c>
      <c r="S33" s="372" t="s">
        <v>23</v>
      </c>
      <c r="T33" s="372" t="s">
        <v>23</v>
      </c>
      <c r="U33" s="372" t="s">
        <v>23</v>
      </c>
      <c r="V33" s="372" t="s">
        <v>23</v>
      </c>
      <c r="W33" s="372" t="s">
        <v>23</v>
      </c>
      <c r="X33" s="372" t="s">
        <v>23</v>
      </c>
      <c r="Y33" s="372" t="s">
        <v>23</v>
      </c>
      <c r="Z33" s="372" t="s">
        <v>23</v>
      </c>
      <c r="AA33" s="372" t="s">
        <v>23</v>
      </c>
      <c r="AB33" s="372" t="s">
        <v>23</v>
      </c>
      <c r="AC33" s="372" t="s">
        <v>23</v>
      </c>
      <c r="AD33" s="372" t="s">
        <v>23</v>
      </c>
      <c r="AE33" s="372" t="s">
        <v>23</v>
      </c>
      <c r="AF33" s="62"/>
    </row>
    <row r="34" spans="2:33" ht="26.85" customHeight="1" x14ac:dyDescent="0.25">
      <c r="B34" s="349" t="s">
        <v>108</v>
      </c>
      <c r="C34" s="349"/>
      <c r="D34" s="180" t="s">
        <v>25</v>
      </c>
      <c r="E34" s="180"/>
      <c r="F34" s="750" t="s">
        <v>23</v>
      </c>
      <c r="G34" s="750" t="s">
        <v>23</v>
      </c>
      <c r="H34" s="750" t="s">
        <v>23</v>
      </c>
      <c r="I34" s="456">
        <v>0</v>
      </c>
      <c r="J34" s="721" t="s">
        <v>23</v>
      </c>
      <c r="K34" s="721" t="s">
        <v>23</v>
      </c>
      <c r="L34" s="721" t="s">
        <v>23</v>
      </c>
      <c r="M34" s="743">
        <f t="shared" ref="M34:M36" si="7">SUM(J34:K34)</f>
        <v>0</v>
      </c>
      <c r="N34" s="373">
        <v>0</v>
      </c>
      <c r="O34" s="373">
        <v>0</v>
      </c>
      <c r="P34" s="373">
        <f>SUM(N34:O34)</f>
        <v>0</v>
      </c>
      <c r="Q34" s="372" t="s">
        <v>23</v>
      </c>
      <c r="R34" s="372" t="s">
        <v>23</v>
      </c>
      <c r="S34" s="372" t="s">
        <v>23</v>
      </c>
      <c r="T34" s="372" t="s">
        <v>23</v>
      </c>
      <c r="U34" s="372" t="s">
        <v>23</v>
      </c>
      <c r="V34" s="372" t="s">
        <v>23</v>
      </c>
      <c r="W34" s="372" t="s">
        <v>23</v>
      </c>
      <c r="X34" s="372" t="s">
        <v>23</v>
      </c>
      <c r="Y34" s="372" t="s">
        <v>23</v>
      </c>
      <c r="Z34" s="372" t="s">
        <v>23</v>
      </c>
      <c r="AA34" s="372" t="s">
        <v>23</v>
      </c>
      <c r="AB34" s="372" t="s">
        <v>23</v>
      </c>
      <c r="AC34" s="372" t="s">
        <v>23</v>
      </c>
      <c r="AD34" s="372" t="s">
        <v>23</v>
      </c>
      <c r="AE34" s="372" t="s">
        <v>23</v>
      </c>
      <c r="AF34" s="62"/>
    </row>
    <row r="35" spans="2:33" ht="26.85" customHeight="1" x14ac:dyDescent="0.25">
      <c r="B35" s="349" t="s">
        <v>109</v>
      </c>
      <c r="C35" s="349"/>
      <c r="D35" s="180" t="s">
        <v>25</v>
      </c>
      <c r="E35" s="180"/>
      <c r="F35" s="750" t="s">
        <v>23</v>
      </c>
      <c r="G35" s="750" t="s">
        <v>23</v>
      </c>
      <c r="H35" s="750" t="s">
        <v>23</v>
      </c>
      <c r="I35" s="456">
        <v>0</v>
      </c>
      <c r="J35" s="721" t="s">
        <v>23</v>
      </c>
      <c r="K35" s="721" t="s">
        <v>23</v>
      </c>
      <c r="L35" s="721" t="s">
        <v>23</v>
      </c>
      <c r="M35" s="743">
        <f t="shared" si="7"/>
        <v>0</v>
      </c>
      <c r="N35" s="373">
        <v>0</v>
      </c>
      <c r="O35" s="373">
        <v>0</v>
      </c>
      <c r="P35" s="373">
        <f>SUM(N35:O35)</f>
        <v>0</v>
      </c>
      <c r="Q35" s="372" t="s">
        <v>23</v>
      </c>
      <c r="R35" s="372" t="s">
        <v>23</v>
      </c>
      <c r="S35" s="372" t="s">
        <v>23</v>
      </c>
      <c r="T35" s="372" t="s">
        <v>23</v>
      </c>
      <c r="U35" s="372" t="s">
        <v>23</v>
      </c>
      <c r="V35" s="372" t="s">
        <v>23</v>
      </c>
      <c r="W35" s="372" t="s">
        <v>23</v>
      </c>
      <c r="X35" s="372" t="s">
        <v>23</v>
      </c>
      <c r="Y35" s="372" t="s">
        <v>23</v>
      </c>
      <c r="Z35" s="372" t="s">
        <v>23</v>
      </c>
      <c r="AA35" s="372" t="s">
        <v>23</v>
      </c>
      <c r="AB35" s="372" t="s">
        <v>23</v>
      </c>
      <c r="AC35" s="372" t="s">
        <v>23</v>
      </c>
      <c r="AD35" s="372" t="s">
        <v>23</v>
      </c>
      <c r="AE35" s="372" t="s">
        <v>23</v>
      </c>
      <c r="AF35" s="62"/>
    </row>
    <row r="36" spans="2:33" ht="26.85" customHeight="1" x14ac:dyDescent="0.25">
      <c r="B36" s="349" t="s">
        <v>110</v>
      </c>
      <c r="C36" s="349"/>
      <c r="D36" s="180" t="s">
        <v>25</v>
      </c>
      <c r="E36" s="180"/>
      <c r="F36" s="750" t="s">
        <v>23</v>
      </c>
      <c r="G36" s="750" t="s">
        <v>23</v>
      </c>
      <c r="H36" s="750" t="s">
        <v>23</v>
      </c>
      <c r="I36" s="456">
        <v>0</v>
      </c>
      <c r="J36" s="721" t="s">
        <v>23</v>
      </c>
      <c r="K36" s="721" t="s">
        <v>23</v>
      </c>
      <c r="L36" s="721" t="s">
        <v>23</v>
      </c>
      <c r="M36" s="743">
        <f t="shared" si="7"/>
        <v>0</v>
      </c>
      <c r="N36" s="373">
        <v>0</v>
      </c>
      <c r="O36" s="373">
        <v>0</v>
      </c>
      <c r="P36" s="373">
        <f>SUM(N36:O36)</f>
        <v>0</v>
      </c>
      <c r="Q36" s="372" t="s">
        <v>23</v>
      </c>
      <c r="R36" s="372" t="s">
        <v>23</v>
      </c>
      <c r="S36" s="372" t="s">
        <v>23</v>
      </c>
      <c r="T36" s="372" t="s">
        <v>23</v>
      </c>
      <c r="U36" s="372" t="s">
        <v>23</v>
      </c>
      <c r="V36" s="372" t="s">
        <v>23</v>
      </c>
      <c r="W36" s="372" t="s">
        <v>23</v>
      </c>
      <c r="X36" s="372" t="s">
        <v>23</v>
      </c>
      <c r="Y36" s="372" t="s">
        <v>23</v>
      </c>
      <c r="Z36" s="372" t="s">
        <v>23</v>
      </c>
      <c r="AA36" s="372" t="s">
        <v>23</v>
      </c>
      <c r="AB36" s="372" t="s">
        <v>23</v>
      </c>
      <c r="AC36" s="372" t="s">
        <v>23</v>
      </c>
      <c r="AD36" s="372" t="s">
        <v>23</v>
      </c>
      <c r="AE36" s="372" t="s">
        <v>23</v>
      </c>
      <c r="AF36" s="62"/>
    </row>
    <row r="37" spans="2:33" ht="26.85" customHeight="1" x14ac:dyDescent="0.25">
      <c r="B37" s="349" t="s">
        <v>111</v>
      </c>
      <c r="C37" s="349"/>
      <c r="D37" s="180" t="s">
        <v>25</v>
      </c>
      <c r="E37" s="180"/>
      <c r="F37" s="750" t="s">
        <v>23</v>
      </c>
      <c r="G37" s="750" t="s">
        <v>23</v>
      </c>
      <c r="H37" s="750" t="s">
        <v>23</v>
      </c>
      <c r="I37" s="456">
        <v>0</v>
      </c>
      <c r="J37" s="721" t="s">
        <v>23</v>
      </c>
      <c r="K37" s="721" t="s">
        <v>23</v>
      </c>
      <c r="L37" s="721" t="s">
        <v>23</v>
      </c>
      <c r="M37" s="743">
        <v>0</v>
      </c>
      <c r="N37" s="372" t="s">
        <v>23</v>
      </c>
      <c r="O37" s="372" t="s">
        <v>23</v>
      </c>
      <c r="P37" s="372" t="s">
        <v>23</v>
      </c>
      <c r="Q37" s="372" t="s">
        <v>23</v>
      </c>
      <c r="R37" s="372" t="s">
        <v>23</v>
      </c>
      <c r="S37" s="372" t="s">
        <v>23</v>
      </c>
      <c r="T37" s="372" t="s">
        <v>23</v>
      </c>
      <c r="U37" s="372" t="s">
        <v>23</v>
      </c>
      <c r="V37" s="372" t="s">
        <v>23</v>
      </c>
      <c r="W37" s="372" t="s">
        <v>23</v>
      </c>
      <c r="X37" s="372" t="s">
        <v>23</v>
      </c>
      <c r="Y37" s="372" t="s">
        <v>23</v>
      </c>
      <c r="Z37" s="372" t="s">
        <v>23</v>
      </c>
      <c r="AA37" s="372" t="s">
        <v>23</v>
      </c>
      <c r="AB37" s="372" t="s">
        <v>23</v>
      </c>
      <c r="AC37" s="372" t="s">
        <v>23</v>
      </c>
      <c r="AD37" s="372" t="s">
        <v>23</v>
      </c>
      <c r="AE37" s="372" t="s">
        <v>23</v>
      </c>
      <c r="AF37" s="62"/>
    </row>
    <row r="38" spans="2:33" ht="26.85" customHeight="1" x14ac:dyDescent="0.25">
      <c r="B38" s="349" t="s">
        <v>112</v>
      </c>
      <c r="C38" s="349"/>
      <c r="D38" s="180" t="s">
        <v>25</v>
      </c>
      <c r="E38" s="180"/>
      <c r="F38" s="750" t="s">
        <v>23</v>
      </c>
      <c r="G38" s="750" t="s">
        <v>23</v>
      </c>
      <c r="H38" s="750" t="s">
        <v>23</v>
      </c>
      <c r="I38" s="456">
        <v>0</v>
      </c>
      <c r="J38" s="721" t="s">
        <v>23</v>
      </c>
      <c r="K38" s="721" t="s">
        <v>23</v>
      </c>
      <c r="L38" s="721" t="s">
        <v>23</v>
      </c>
      <c r="M38" s="743">
        <v>0</v>
      </c>
      <c r="N38" s="372" t="s">
        <v>23</v>
      </c>
      <c r="O38" s="372" t="s">
        <v>23</v>
      </c>
      <c r="P38" s="372" t="s">
        <v>23</v>
      </c>
      <c r="Q38" s="372" t="s">
        <v>23</v>
      </c>
      <c r="R38" s="372" t="s">
        <v>23</v>
      </c>
      <c r="S38" s="372" t="s">
        <v>23</v>
      </c>
      <c r="T38" s="372" t="s">
        <v>23</v>
      </c>
      <c r="U38" s="372" t="s">
        <v>23</v>
      </c>
      <c r="V38" s="372" t="s">
        <v>23</v>
      </c>
      <c r="W38" s="372" t="s">
        <v>23</v>
      </c>
      <c r="X38" s="372" t="s">
        <v>23</v>
      </c>
      <c r="Y38" s="372" t="s">
        <v>23</v>
      </c>
      <c r="Z38" s="372" t="s">
        <v>23</v>
      </c>
      <c r="AA38" s="372" t="s">
        <v>23</v>
      </c>
      <c r="AB38" s="372" t="s">
        <v>23</v>
      </c>
      <c r="AC38" s="372" t="s">
        <v>23</v>
      </c>
      <c r="AD38" s="372" t="s">
        <v>23</v>
      </c>
      <c r="AE38" s="372" t="s">
        <v>23</v>
      </c>
      <c r="AF38" s="62"/>
    </row>
    <row r="39" spans="2:33" ht="26.85" customHeight="1" x14ac:dyDescent="0.25">
      <c r="B39" s="347" t="s">
        <v>102</v>
      </c>
      <c r="C39" s="347"/>
      <c r="D39" s="180" t="s">
        <v>31</v>
      </c>
      <c r="E39" s="180"/>
      <c r="F39" s="457">
        <f>F25+F17</f>
        <v>0.49315068493150682</v>
      </c>
      <c r="G39" s="457">
        <f>G25+G17</f>
        <v>0.50684931506849318</v>
      </c>
      <c r="H39" s="457" t="s">
        <v>23</v>
      </c>
      <c r="I39" s="504">
        <f>SUM(F39:G39)</f>
        <v>1</v>
      </c>
      <c r="J39" s="744">
        <f>J25+J17</f>
        <v>0.45833333333333337</v>
      </c>
      <c r="K39" s="744">
        <f>K25+K17</f>
        <v>0.54166666666666663</v>
      </c>
      <c r="L39" s="744" t="s">
        <v>23</v>
      </c>
      <c r="M39" s="745">
        <f>SUM(J39:K39)</f>
        <v>1</v>
      </c>
      <c r="N39" s="386">
        <f>SUM(N33,N25,N17)</f>
        <v>0.42499999999999999</v>
      </c>
      <c r="O39" s="386">
        <f>SUM(O33,O25,O17)</f>
        <v>0.57499999999999996</v>
      </c>
      <c r="P39" s="432">
        <f>SUM(P33,P25,P17)</f>
        <v>1</v>
      </c>
      <c r="Q39" s="381">
        <v>0.24099999999999999</v>
      </c>
      <c r="R39" s="381">
        <v>0.75900000000000001</v>
      </c>
      <c r="S39" s="382">
        <v>1</v>
      </c>
      <c r="T39" s="222">
        <f t="shared" ref="T39:AD39" si="8">SUM(T17:T25)</f>
        <v>0.22309999999999999</v>
      </c>
      <c r="U39" s="222">
        <f t="shared" si="8"/>
        <v>0.77690000000000003</v>
      </c>
      <c r="V39" s="222">
        <f t="shared" si="8"/>
        <v>1</v>
      </c>
      <c r="W39" s="384">
        <f t="shared" si="8"/>
        <v>0.21959999999999999</v>
      </c>
      <c r="X39" s="384">
        <f t="shared" si="8"/>
        <v>0.78039999999999998</v>
      </c>
      <c r="Y39" s="384">
        <f t="shared" si="8"/>
        <v>1</v>
      </c>
      <c r="Z39" s="222">
        <f t="shared" si="8"/>
        <v>0.1958</v>
      </c>
      <c r="AA39" s="222">
        <f t="shared" si="8"/>
        <v>0.80430000000000001</v>
      </c>
      <c r="AB39" s="222">
        <f t="shared" si="8"/>
        <v>1.0001</v>
      </c>
      <c r="AC39" s="381">
        <f t="shared" si="8"/>
        <v>0.19789999999999999</v>
      </c>
      <c r="AD39" s="381">
        <f t="shared" si="8"/>
        <v>0.80220000000000002</v>
      </c>
      <c r="AE39" s="382">
        <f>SUM(AC39:AD39)</f>
        <v>1.0001</v>
      </c>
      <c r="AF39" s="60"/>
    </row>
    <row r="40" spans="2:33" s="28" customFormat="1" ht="26.85" customHeight="1" x14ac:dyDescent="0.25">
      <c r="B40" s="368" t="s">
        <v>116</v>
      </c>
      <c r="C40" s="494"/>
      <c r="D40" s="10"/>
      <c r="E40" s="10"/>
      <c r="F40" s="499"/>
      <c r="G40" s="499"/>
      <c r="H40" s="499"/>
      <c r="I40" s="500"/>
      <c r="J40" s="731"/>
      <c r="K40" s="731"/>
      <c r="L40" s="731"/>
      <c r="M40" s="732"/>
      <c r="N40" s="497"/>
      <c r="O40" s="497"/>
      <c r="P40" s="498"/>
      <c r="Q40" s="489"/>
      <c r="R40" s="489"/>
      <c r="S40" s="490"/>
      <c r="T40" s="489"/>
      <c r="U40" s="489"/>
      <c r="V40" s="490"/>
      <c r="W40" s="490"/>
      <c r="X40" s="490"/>
      <c r="Y40" s="490"/>
      <c r="Z40" s="489"/>
      <c r="AA40" s="489"/>
      <c r="AB40" s="490"/>
      <c r="AC40" s="489"/>
      <c r="AD40" s="489"/>
      <c r="AE40" s="490"/>
      <c r="AF40" s="60"/>
      <c r="AG40" s="50"/>
    </row>
    <row r="41" spans="2:33" s="28" customFormat="1" ht="50.1" customHeight="1" x14ac:dyDescent="0.25">
      <c r="B41" s="291"/>
      <c r="C41" s="291"/>
      <c r="D41" s="10"/>
      <c r="E41" s="10"/>
      <c r="F41" s="289"/>
      <c r="G41" s="289"/>
      <c r="H41" s="289"/>
      <c r="I41" s="290"/>
      <c r="J41" s="733"/>
      <c r="K41" s="733"/>
      <c r="L41" s="733"/>
      <c r="M41" s="734"/>
      <c r="N41" s="287"/>
      <c r="O41" s="287"/>
      <c r="P41" s="288"/>
      <c r="Q41" s="283"/>
      <c r="R41" s="283"/>
      <c r="S41" s="284"/>
      <c r="T41" s="283"/>
      <c r="U41" s="283"/>
      <c r="V41" s="284"/>
      <c r="W41" s="284"/>
      <c r="X41" s="284"/>
      <c r="Y41" s="284"/>
      <c r="Z41" s="283"/>
      <c r="AA41" s="283"/>
      <c r="AB41" s="284"/>
      <c r="AC41" s="283"/>
      <c r="AD41" s="283"/>
      <c r="AE41" s="284"/>
      <c r="AF41" s="60"/>
      <c r="AG41" s="50"/>
    </row>
    <row r="42" spans="2:33" s="28" customFormat="1" ht="26.85" customHeight="1" x14ac:dyDescent="0.25">
      <c r="B42" s="6" t="s">
        <v>117</v>
      </c>
      <c r="C42" s="6"/>
      <c r="D42" s="7" t="s">
        <v>9</v>
      </c>
      <c r="E42" s="306"/>
      <c r="F42" s="930" t="s">
        <v>10</v>
      </c>
      <c r="G42" s="930"/>
      <c r="H42" s="930"/>
      <c r="I42" s="930"/>
      <c r="J42" s="980" t="s">
        <v>11</v>
      </c>
      <c r="K42" s="980"/>
      <c r="L42" s="980"/>
      <c r="M42" s="980"/>
      <c r="N42" s="981" t="s">
        <v>12</v>
      </c>
      <c r="O42" s="981"/>
      <c r="P42" s="981"/>
      <c r="Q42" s="981" t="s">
        <v>13</v>
      </c>
      <c r="R42" s="981"/>
      <c r="S42" s="981"/>
      <c r="T42" s="981" t="s">
        <v>14</v>
      </c>
      <c r="U42" s="981"/>
      <c r="V42" s="981"/>
      <c r="W42" s="981" t="s">
        <v>15</v>
      </c>
      <c r="X42" s="981"/>
      <c r="Y42" s="981"/>
      <c r="Z42" s="981" t="s">
        <v>16</v>
      </c>
      <c r="AA42" s="981"/>
      <c r="AB42" s="981"/>
      <c r="AC42" s="981" t="s">
        <v>17</v>
      </c>
      <c r="AD42" s="981"/>
      <c r="AE42" s="981"/>
      <c r="AF42" s="60"/>
      <c r="AG42" s="50"/>
    </row>
    <row r="43" spans="2:33" s="28" customFormat="1" ht="26.85" customHeight="1" x14ac:dyDescent="0.25">
      <c r="B43" s="314"/>
      <c r="C43" s="314"/>
      <c r="D43" s="190"/>
      <c r="E43" s="190"/>
      <c r="F43" s="182" t="s">
        <v>99</v>
      </c>
      <c r="G43" s="182" t="s">
        <v>100</v>
      </c>
      <c r="H43" s="532" t="s">
        <v>101</v>
      </c>
      <c r="I43" s="182" t="s">
        <v>102</v>
      </c>
      <c r="J43" s="452" t="s">
        <v>99</v>
      </c>
      <c r="K43" s="452" t="s">
        <v>100</v>
      </c>
      <c r="L43" s="690" t="s">
        <v>101</v>
      </c>
      <c r="M43" s="452" t="s">
        <v>102</v>
      </c>
      <c r="N43" s="183" t="s">
        <v>99</v>
      </c>
      <c r="O43" s="183" t="s">
        <v>100</v>
      </c>
      <c r="P43" s="183" t="s">
        <v>102</v>
      </c>
      <c r="Q43" s="183" t="s">
        <v>99</v>
      </c>
      <c r="R43" s="183" t="s">
        <v>100</v>
      </c>
      <c r="S43" s="183" t="s">
        <v>102</v>
      </c>
      <c r="T43" s="183" t="s">
        <v>99</v>
      </c>
      <c r="U43" s="183" t="s">
        <v>100</v>
      </c>
      <c r="V43" s="183" t="s">
        <v>102</v>
      </c>
      <c r="W43" s="183" t="s">
        <v>99</v>
      </c>
      <c r="X43" s="183" t="s">
        <v>100</v>
      </c>
      <c r="Y43" s="183" t="s">
        <v>102</v>
      </c>
      <c r="Z43" s="183" t="s">
        <v>99</v>
      </c>
      <c r="AA43" s="183" t="s">
        <v>100</v>
      </c>
      <c r="AB43" s="183" t="s">
        <v>102</v>
      </c>
      <c r="AC43" s="183" t="s">
        <v>99</v>
      </c>
      <c r="AD43" s="183" t="s">
        <v>100</v>
      </c>
      <c r="AE43" s="183" t="s">
        <v>102</v>
      </c>
      <c r="AF43" s="183"/>
      <c r="AG43" s="50"/>
    </row>
    <row r="44" spans="2:33" ht="26.85" customHeight="1" x14ac:dyDescent="0.25">
      <c r="B44" s="193" t="s">
        <v>118</v>
      </c>
      <c r="C44" s="188"/>
      <c r="D44" s="180" t="s">
        <v>25</v>
      </c>
      <c r="E44" s="180"/>
      <c r="F44" s="456">
        <v>36</v>
      </c>
      <c r="G44" s="456">
        <v>37</v>
      </c>
      <c r="H44" s="457" t="s">
        <v>23</v>
      </c>
      <c r="I44" s="456">
        <f t="shared" ref="I44" si="9">SUM(F44:G44)</f>
        <v>73</v>
      </c>
      <c r="J44" s="743">
        <v>33</v>
      </c>
      <c r="K44" s="743">
        <v>39</v>
      </c>
      <c r="L44" s="721" t="s">
        <v>23</v>
      </c>
      <c r="M44" s="743">
        <f t="shared" ref="M44:M45" si="10">SUM(J44:K44)</f>
        <v>72</v>
      </c>
      <c r="N44" s="372" t="s">
        <v>23</v>
      </c>
      <c r="O44" s="372" t="s">
        <v>23</v>
      </c>
      <c r="P44" s="372" t="s">
        <v>23</v>
      </c>
      <c r="Q44" s="372" t="s">
        <v>23</v>
      </c>
      <c r="R44" s="372" t="s">
        <v>23</v>
      </c>
      <c r="S44" s="372" t="s">
        <v>23</v>
      </c>
      <c r="T44" s="372" t="s">
        <v>23</v>
      </c>
      <c r="U44" s="372" t="s">
        <v>23</v>
      </c>
      <c r="V44" s="372" t="s">
        <v>23</v>
      </c>
      <c r="W44" s="372" t="s">
        <v>23</v>
      </c>
      <c r="X44" s="372" t="s">
        <v>23</v>
      </c>
      <c r="Y44" s="372" t="s">
        <v>23</v>
      </c>
      <c r="Z44" s="372" t="s">
        <v>23</v>
      </c>
      <c r="AA44" s="372" t="s">
        <v>23</v>
      </c>
      <c r="AB44" s="372" t="s">
        <v>23</v>
      </c>
      <c r="AC44" s="372" t="s">
        <v>23</v>
      </c>
      <c r="AD44" s="372" t="s">
        <v>23</v>
      </c>
      <c r="AE44" s="372" t="s">
        <v>23</v>
      </c>
      <c r="AF44" s="60"/>
    </row>
    <row r="45" spans="2:33" ht="26.85" customHeight="1" x14ac:dyDescent="0.25">
      <c r="B45" s="193" t="s">
        <v>119</v>
      </c>
      <c r="C45" s="188"/>
      <c r="D45" s="180" t="s">
        <v>25</v>
      </c>
      <c r="E45" s="180"/>
      <c r="F45" s="457" t="s">
        <v>23</v>
      </c>
      <c r="G45" s="457" t="s">
        <v>23</v>
      </c>
      <c r="H45" s="457" t="s">
        <v>23</v>
      </c>
      <c r="I45" s="457" t="s">
        <v>23</v>
      </c>
      <c r="J45" s="743">
        <v>0</v>
      </c>
      <c r="K45" s="743">
        <v>0</v>
      </c>
      <c r="L45" s="721" t="s">
        <v>23</v>
      </c>
      <c r="M45" s="743">
        <f t="shared" si="10"/>
        <v>0</v>
      </c>
      <c r="N45" s="372" t="s">
        <v>23</v>
      </c>
      <c r="O45" s="372" t="s">
        <v>23</v>
      </c>
      <c r="P45" s="372" t="s">
        <v>23</v>
      </c>
      <c r="Q45" s="372" t="s">
        <v>23</v>
      </c>
      <c r="R45" s="372" t="s">
        <v>23</v>
      </c>
      <c r="S45" s="372" t="s">
        <v>23</v>
      </c>
      <c r="T45" s="372" t="s">
        <v>23</v>
      </c>
      <c r="U45" s="372" t="s">
        <v>23</v>
      </c>
      <c r="V45" s="372" t="s">
        <v>23</v>
      </c>
      <c r="W45" s="372" t="s">
        <v>23</v>
      </c>
      <c r="X45" s="372" t="s">
        <v>23</v>
      </c>
      <c r="Y45" s="372" t="s">
        <v>23</v>
      </c>
      <c r="Z45" s="372" t="s">
        <v>23</v>
      </c>
      <c r="AA45" s="372" t="s">
        <v>23</v>
      </c>
      <c r="AB45" s="372" t="s">
        <v>23</v>
      </c>
      <c r="AC45" s="372" t="s">
        <v>23</v>
      </c>
      <c r="AD45" s="372" t="s">
        <v>23</v>
      </c>
      <c r="AE45" s="372" t="s">
        <v>23</v>
      </c>
      <c r="AF45" s="60"/>
    </row>
    <row r="46" spans="2:33" ht="50.1" customHeight="1" x14ac:dyDescent="0.2">
      <c r="B46" s="210"/>
      <c r="C46" s="210"/>
      <c r="D46" s="180"/>
      <c r="E46" s="180"/>
      <c r="F46" s="262"/>
      <c r="G46" s="262"/>
      <c r="H46" s="262"/>
      <c r="I46" s="262"/>
      <c r="J46" s="653"/>
      <c r="K46" s="653"/>
      <c r="L46" s="653"/>
      <c r="M46" s="653"/>
      <c r="N46" s="185"/>
      <c r="O46" s="185"/>
      <c r="P46" s="185"/>
      <c r="Q46" s="185"/>
      <c r="R46" s="185"/>
      <c r="S46" s="185"/>
      <c r="T46" s="207"/>
      <c r="U46" s="207"/>
      <c r="V46" s="207"/>
      <c r="W46" s="207"/>
      <c r="X46" s="207"/>
      <c r="Y46" s="207"/>
      <c r="Z46" s="207"/>
      <c r="AA46" s="207"/>
      <c r="AB46" s="207"/>
      <c r="AC46" s="185"/>
      <c r="AD46" s="185"/>
      <c r="AE46" s="185"/>
      <c r="AF46" s="50"/>
    </row>
    <row r="47" spans="2:33" ht="26.85" customHeight="1" x14ac:dyDescent="0.35">
      <c r="B47" s="6" t="s">
        <v>120</v>
      </c>
      <c r="C47" s="305"/>
      <c r="D47" s="7" t="s">
        <v>9</v>
      </c>
      <c r="E47" s="306"/>
      <c r="F47" s="930" t="s">
        <v>10</v>
      </c>
      <c r="G47" s="930"/>
      <c r="H47" s="930"/>
      <c r="I47" s="930"/>
      <c r="J47" s="980" t="s">
        <v>11</v>
      </c>
      <c r="K47" s="980"/>
      <c r="L47" s="980"/>
      <c r="M47" s="980"/>
      <c r="N47" s="981" t="s">
        <v>12</v>
      </c>
      <c r="O47" s="981"/>
      <c r="P47" s="981"/>
      <c r="Q47" s="981" t="s">
        <v>13</v>
      </c>
      <c r="R47" s="981"/>
      <c r="S47" s="981"/>
      <c r="T47" s="981" t="s">
        <v>14</v>
      </c>
      <c r="U47" s="981"/>
      <c r="V47" s="981"/>
      <c r="W47" s="981" t="s">
        <v>15</v>
      </c>
      <c r="X47" s="981"/>
      <c r="Y47" s="981"/>
      <c r="Z47" s="981" t="s">
        <v>16</v>
      </c>
      <c r="AA47" s="981"/>
      <c r="AB47" s="981"/>
      <c r="AC47" s="981" t="s">
        <v>17</v>
      </c>
      <c r="AD47" s="981"/>
      <c r="AE47" s="981"/>
      <c r="AF47" s="50"/>
    </row>
    <row r="48" spans="2:33" ht="26.85" customHeight="1" x14ac:dyDescent="0.2">
      <c r="B48" s="292"/>
      <c r="C48" s="292"/>
      <c r="D48" s="180"/>
      <c r="E48" s="180"/>
      <c r="F48" s="182" t="s">
        <v>99</v>
      </c>
      <c r="G48" s="182" t="s">
        <v>100</v>
      </c>
      <c r="H48" s="532" t="s">
        <v>101</v>
      </c>
      <c r="I48" s="182" t="s">
        <v>102</v>
      </c>
      <c r="J48" s="452" t="s">
        <v>99</v>
      </c>
      <c r="K48" s="452" t="s">
        <v>100</v>
      </c>
      <c r="L48" s="690" t="s">
        <v>101</v>
      </c>
      <c r="M48" s="452" t="s">
        <v>102</v>
      </c>
      <c r="N48" s="183" t="s">
        <v>99</v>
      </c>
      <c r="O48" s="183" t="s">
        <v>100</v>
      </c>
      <c r="P48" s="183" t="s">
        <v>102</v>
      </c>
      <c r="Q48" s="183" t="s">
        <v>99</v>
      </c>
      <c r="R48" s="183" t="s">
        <v>100</v>
      </c>
      <c r="S48" s="183" t="s">
        <v>102</v>
      </c>
      <c r="T48" s="183" t="s">
        <v>99</v>
      </c>
      <c r="U48" s="183" t="s">
        <v>100</v>
      </c>
      <c r="V48" s="183" t="s">
        <v>102</v>
      </c>
      <c r="W48" s="183" t="s">
        <v>99</v>
      </c>
      <c r="X48" s="183" t="s">
        <v>100</v>
      </c>
      <c r="Y48" s="183" t="s">
        <v>102</v>
      </c>
      <c r="Z48" s="183" t="s">
        <v>99</v>
      </c>
      <c r="AA48" s="183" t="s">
        <v>100</v>
      </c>
      <c r="AB48" s="183" t="s">
        <v>102</v>
      </c>
      <c r="AC48" s="183" t="s">
        <v>99</v>
      </c>
      <c r="AD48" s="183" t="s">
        <v>100</v>
      </c>
      <c r="AE48" s="183" t="s">
        <v>102</v>
      </c>
      <c r="AF48" s="58"/>
    </row>
    <row r="49" spans="2:32" ht="26.85" customHeight="1" x14ac:dyDescent="0.25">
      <c r="B49" s="198" t="s">
        <v>198</v>
      </c>
      <c r="C49" s="198"/>
      <c r="D49" s="180" t="s">
        <v>31</v>
      </c>
      <c r="E49" s="180"/>
      <c r="F49" s="458">
        <f>SUM(F50:F54)/$I$44</f>
        <v>0.46575342465753422</v>
      </c>
      <c r="G49" s="458">
        <f>SUM(G50:G54)/$I$44</f>
        <v>0.49315068493150682</v>
      </c>
      <c r="H49" s="750" t="s">
        <v>23</v>
      </c>
      <c r="I49" s="458">
        <f>SUM(F49:G49)</f>
        <v>0.95890410958904104</v>
      </c>
      <c r="J49" s="746">
        <f>SUM(J50:J54)/$M$44</f>
        <v>0.3888888888888889</v>
      </c>
      <c r="K49" s="746">
        <f>SUM(K50:K54)/$M$44</f>
        <v>0.4861111111111111</v>
      </c>
      <c r="L49" s="721" t="s">
        <v>23</v>
      </c>
      <c r="M49" s="746">
        <f>SUM(J49:K49)</f>
        <v>0.875</v>
      </c>
      <c r="N49" s="432">
        <f>N56/P11</f>
        <v>0.25</v>
      </c>
      <c r="O49" s="386">
        <f>O56/P11</f>
        <v>0.41249999999999998</v>
      </c>
      <c r="P49" s="386">
        <f>P56/P11</f>
        <v>0.66249999999999998</v>
      </c>
      <c r="Q49" s="372" t="s">
        <v>23</v>
      </c>
      <c r="R49" s="372" t="s">
        <v>23</v>
      </c>
      <c r="S49" s="372" t="s">
        <v>23</v>
      </c>
      <c r="T49" s="372" t="s">
        <v>23</v>
      </c>
      <c r="U49" s="372" t="s">
        <v>23</v>
      </c>
      <c r="V49" s="372" t="s">
        <v>23</v>
      </c>
      <c r="W49" s="372" t="s">
        <v>23</v>
      </c>
      <c r="X49" s="372" t="s">
        <v>23</v>
      </c>
      <c r="Y49" s="372" t="s">
        <v>23</v>
      </c>
      <c r="Z49" s="372" t="s">
        <v>23</v>
      </c>
      <c r="AA49" s="372" t="s">
        <v>23</v>
      </c>
      <c r="AB49" s="372" t="s">
        <v>23</v>
      </c>
      <c r="AC49" s="372" t="s">
        <v>23</v>
      </c>
      <c r="AD49" s="372" t="s">
        <v>23</v>
      </c>
      <c r="AE49" s="372" t="s">
        <v>23</v>
      </c>
      <c r="AF49" s="62"/>
    </row>
    <row r="50" spans="2:32" ht="26.85" customHeight="1" x14ac:dyDescent="0.25">
      <c r="B50" s="347" t="s">
        <v>108</v>
      </c>
      <c r="C50" s="347"/>
      <c r="D50" s="180" t="s">
        <v>25</v>
      </c>
      <c r="E50" s="180"/>
      <c r="F50" s="456">
        <v>1</v>
      </c>
      <c r="G50" s="456">
        <v>1</v>
      </c>
      <c r="H50" s="750" t="s">
        <v>23</v>
      </c>
      <c r="I50" s="456">
        <f t="shared" ref="I50:I52" si="11">SUM(F50:G50)</f>
        <v>2</v>
      </c>
      <c r="J50" s="699" t="s">
        <v>23</v>
      </c>
      <c r="K50" s="699">
        <v>1</v>
      </c>
      <c r="L50" s="721" t="s">
        <v>23</v>
      </c>
      <c r="M50" s="699">
        <f t="shared" ref="M50:M52" si="12">SUM(J50:K50)</f>
        <v>1</v>
      </c>
      <c r="N50" s="373">
        <v>0</v>
      </c>
      <c r="O50" s="373">
        <v>0</v>
      </c>
      <c r="P50" s="373">
        <f>SUM(N50:O50)</f>
        <v>0</v>
      </c>
      <c r="Q50" s="372" t="s">
        <v>23</v>
      </c>
      <c r="R50" s="372" t="s">
        <v>23</v>
      </c>
      <c r="S50" s="372" t="s">
        <v>23</v>
      </c>
      <c r="T50" s="372" t="s">
        <v>23</v>
      </c>
      <c r="U50" s="372" t="s">
        <v>23</v>
      </c>
      <c r="V50" s="372" t="s">
        <v>23</v>
      </c>
      <c r="W50" s="372" t="s">
        <v>23</v>
      </c>
      <c r="X50" s="372" t="s">
        <v>23</v>
      </c>
      <c r="Y50" s="372" t="s">
        <v>23</v>
      </c>
      <c r="Z50" s="372" t="s">
        <v>23</v>
      </c>
      <c r="AA50" s="372" t="s">
        <v>23</v>
      </c>
      <c r="AB50" s="372" t="s">
        <v>23</v>
      </c>
      <c r="AC50" s="372" t="s">
        <v>23</v>
      </c>
      <c r="AD50" s="372" t="s">
        <v>23</v>
      </c>
      <c r="AE50" s="372" t="s">
        <v>23</v>
      </c>
      <c r="AF50" s="62"/>
    </row>
    <row r="51" spans="2:32" ht="26.85" customHeight="1" x14ac:dyDescent="0.25">
      <c r="B51" s="347" t="s">
        <v>109</v>
      </c>
      <c r="C51" s="347"/>
      <c r="D51" s="180" t="s">
        <v>25</v>
      </c>
      <c r="E51" s="180"/>
      <c r="F51" s="456">
        <v>18</v>
      </c>
      <c r="G51" s="456">
        <v>20</v>
      </c>
      <c r="H51" s="750" t="s">
        <v>23</v>
      </c>
      <c r="I51" s="456">
        <f t="shared" si="11"/>
        <v>38</v>
      </c>
      <c r="J51" s="699">
        <v>14</v>
      </c>
      <c r="K51" s="699">
        <v>17</v>
      </c>
      <c r="L51" s="721" t="s">
        <v>23</v>
      </c>
      <c r="M51" s="699">
        <f t="shared" si="12"/>
        <v>31</v>
      </c>
      <c r="N51" s="373">
        <v>10</v>
      </c>
      <c r="O51" s="373">
        <v>16</v>
      </c>
      <c r="P51" s="373">
        <f>SUM(N51:O51)</f>
        <v>26</v>
      </c>
      <c r="Q51" s="372" t="s">
        <v>23</v>
      </c>
      <c r="R51" s="372" t="s">
        <v>23</v>
      </c>
      <c r="S51" s="372" t="s">
        <v>23</v>
      </c>
      <c r="T51" s="372" t="s">
        <v>23</v>
      </c>
      <c r="U51" s="372" t="s">
        <v>23</v>
      </c>
      <c r="V51" s="372" t="s">
        <v>23</v>
      </c>
      <c r="W51" s="372" t="s">
        <v>23</v>
      </c>
      <c r="X51" s="372" t="s">
        <v>23</v>
      </c>
      <c r="Y51" s="372" t="s">
        <v>23</v>
      </c>
      <c r="Z51" s="372" t="s">
        <v>23</v>
      </c>
      <c r="AA51" s="372" t="s">
        <v>23</v>
      </c>
      <c r="AB51" s="372" t="s">
        <v>23</v>
      </c>
      <c r="AC51" s="372" t="s">
        <v>23</v>
      </c>
      <c r="AD51" s="372" t="s">
        <v>23</v>
      </c>
      <c r="AE51" s="372" t="s">
        <v>23</v>
      </c>
      <c r="AF51" s="62"/>
    </row>
    <row r="52" spans="2:32" ht="26.85" customHeight="1" x14ac:dyDescent="0.25">
      <c r="B52" s="347" t="s">
        <v>110</v>
      </c>
      <c r="C52" s="347"/>
      <c r="D52" s="180" t="s">
        <v>25</v>
      </c>
      <c r="E52" s="180"/>
      <c r="F52" s="456">
        <v>15</v>
      </c>
      <c r="G52" s="456">
        <v>15</v>
      </c>
      <c r="H52" s="750" t="s">
        <v>23</v>
      </c>
      <c r="I52" s="456">
        <f t="shared" si="11"/>
        <v>30</v>
      </c>
      <c r="J52" s="699">
        <v>14</v>
      </c>
      <c r="K52" s="699">
        <v>17</v>
      </c>
      <c r="L52" s="721" t="s">
        <v>23</v>
      </c>
      <c r="M52" s="699">
        <f t="shared" si="12"/>
        <v>31</v>
      </c>
      <c r="N52" s="373">
        <v>10</v>
      </c>
      <c r="O52" s="373">
        <v>17</v>
      </c>
      <c r="P52" s="373">
        <f>SUM(N52:O52)</f>
        <v>27</v>
      </c>
      <c r="Q52" s="372" t="s">
        <v>23</v>
      </c>
      <c r="R52" s="372" t="s">
        <v>23</v>
      </c>
      <c r="S52" s="372" t="s">
        <v>23</v>
      </c>
      <c r="T52" s="372" t="s">
        <v>23</v>
      </c>
      <c r="U52" s="372" t="s">
        <v>23</v>
      </c>
      <c r="V52" s="372" t="s">
        <v>23</v>
      </c>
      <c r="W52" s="372" t="s">
        <v>23</v>
      </c>
      <c r="X52" s="372" t="s">
        <v>23</v>
      </c>
      <c r="Y52" s="372" t="s">
        <v>23</v>
      </c>
      <c r="Z52" s="372" t="s">
        <v>23</v>
      </c>
      <c r="AA52" s="372" t="s">
        <v>23</v>
      </c>
      <c r="AB52" s="372" t="s">
        <v>23</v>
      </c>
      <c r="AC52" s="372" t="s">
        <v>23</v>
      </c>
      <c r="AD52" s="372" t="s">
        <v>23</v>
      </c>
      <c r="AE52" s="372" t="s">
        <v>23</v>
      </c>
      <c r="AF52" s="62"/>
    </row>
    <row r="53" spans="2:32" ht="26.85" customHeight="1" x14ac:dyDescent="0.25">
      <c r="B53" s="345" t="s">
        <v>111</v>
      </c>
      <c r="C53" s="347"/>
      <c r="D53" s="180" t="s">
        <v>25</v>
      </c>
      <c r="E53" s="180"/>
      <c r="F53" s="750" t="s">
        <v>23</v>
      </c>
      <c r="G53" s="750" t="s">
        <v>23</v>
      </c>
      <c r="H53" s="750" t="s">
        <v>23</v>
      </c>
      <c r="I53" s="750" t="s">
        <v>23</v>
      </c>
      <c r="J53" s="721" t="s">
        <v>23</v>
      </c>
      <c r="K53" s="721" t="s">
        <v>23</v>
      </c>
      <c r="L53" s="721" t="s">
        <v>23</v>
      </c>
      <c r="M53" s="721" t="s">
        <v>23</v>
      </c>
      <c r="N53" s="380" t="s">
        <v>23</v>
      </c>
      <c r="O53" s="380" t="s">
        <v>23</v>
      </c>
      <c r="P53" s="380" t="s">
        <v>23</v>
      </c>
      <c r="Q53" s="372" t="s">
        <v>23</v>
      </c>
      <c r="R53" s="372" t="s">
        <v>23</v>
      </c>
      <c r="S53" s="372" t="s">
        <v>23</v>
      </c>
      <c r="T53" s="372" t="s">
        <v>23</v>
      </c>
      <c r="U53" s="372" t="s">
        <v>23</v>
      </c>
      <c r="V53" s="372" t="s">
        <v>23</v>
      </c>
      <c r="W53" s="372" t="s">
        <v>23</v>
      </c>
      <c r="X53" s="372" t="s">
        <v>23</v>
      </c>
      <c r="Y53" s="372" t="s">
        <v>23</v>
      </c>
      <c r="Z53" s="372" t="s">
        <v>23</v>
      </c>
      <c r="AA53" s="372" t="s">
        <v>23</v>
      </c>
      <c r="AB53" s="372" t="s">
        <v>23</v>
      </c>
      <c r="AC53" s="372" t="s">
        <v>23</v>
      </c>
      <c r="AD53" s="372" t="s">
        <v>23</v>
      </c>
      <c r="AE53" s="372" t="s">
        <v>23</v>
      </c>
      <c r="AF53" s="62"/>
    </row>
    <row r="54" spans="2:32" ht="26.85" customHeight="1" x14ac:dyDescent="0.25">
      <c r="B54" s="345" t="s">
        <v>112</v>
      </c>
      <c r="C54" s="347"/>
      <c r="D54" s="180" t="s">
        <v>25</v>
      </c>
      <c r="E54" s="180"/>
      <c r="F54" s="750" t="s">
        <v>23</v>
      </c>
      <c r="G54" s="750" t="s">
        <v>23</v>
      </c>
      <c r="H54" s="750" t="s">
        <v>23</v>
      </c>
      <c r="I54" s="750" t="s">
        <v>23</v>
      </c>
      <c r="J54" s="721" t="s">
        <v>23</v>
      </c>
      <c r="K54" s="721" t="s">
        <v>23</v>
      </c>
      <c r="L54" s="721" t="s">
        <v>23</v>
      </c>
      <c r="M54" s="721" t="s">
        <v>23</v>
      </c>
      <c r="N54" s="380" t="s">
        <v>23</v>
      </c>
      <c r="O54" s="380" t="s">
        <v>23</v>
      </c>
      <c r="P54" s="380" t="s">
        <v>23</v>
      </c>
      <c r="Q54" s="372" t="s">
        <v>23</v>
      </c>
      <c r="R54" s="372" t="s">
        <v>23</v>
      </c>
      <c r="S54" s="372" t="s">
        <v>23</v>
      </c>
      <c r="T54" s="372" t="s">
        <v>23</v>
      </c>
      <c r="U54" s="372" t="s">
        <v>23</v>
      </c>
      <c r="V54" s="372" t="s">
        <v>23</v>
      </c>
      <c r="W54" s="372" t="s">
        <v>23</v>
      </c>
      <c r="X54" s="372" t="s">
        <v>23</v>
      </c>
      <c r="Y54" s="372" t="s">
        <v>23</v>
      </c>
      <c r="Z54" s="372" t="s">
        <v>23</v>
      </c>
      <c r="AA54" s="372" t="s">
        <v>23</v>
      </c>
      <c r="AB54" s="372" t="s">
        <v>23</v>
      </c>
      <c r="AC54" s="372" t="s">
        <v>23</v>
      </c>
      <c r="AD54" s="372" t="s">
        <v>23</v>
      </c>
      <c r="AE54" s="372" t="s">
        <v>23</v>
      </c>
      <c r="AF54" s="62"/>
    </row>
    <row r="55" spans="2:32" ht="26.85" customHeight="1" x14ac:dyDescent="0.25">
      <c r="B55" s="345" t="s">
        <v>230</v>
      </c>
      <c r="C55" s="344"/>
      <c r="D55" s="180" t="s">
        <v>25</v>
      </c>
      <c r="E55" s="180"/>
      <c r="F55" s="750" t="s">
        <v>23</v>
      </c>
      <c r="G55" s="750" t="s">
        <v>23</v>
      </c>
      <c r="H55" s="750" t="s">
        <v>23</v>
      </c>
      <c r="I55" s="750" t="s">
        <v>23</v>
      </c>
      <c r="J55" s="721" t="s">
        <v>23</v>
      </c>
      <c r="K55" s="721" t="s">
        <v>23</v>
      </c>
      <c r="L55" s="721" t="s">
        <v>23</v>
      </c>
      <c r="M55" s="721" t="s">
        <v>23</v>
      </c>
      <c r="N55" s="380" t="s">
        <v>23</v>
      </c>
      <c r="O55" s="380" t="s">
        <v>23</v>
      </c>
      <c r="P55" s="380" t="s">
        <v>23</v>
      </c>
      <c r="Q55" s="372" t="s">
        <v>23</v>
      </c>
      <c r="R55" s="372" t="s">
        <v>23</v>
      </c>
      <c r="S55" s="372" t="s">
        <v>23</v>
      </c>
      <c r="T55" s="372" t="s">
        <v>23</v>
      </c>
      <c r="U55" s="372" t="s">
        <v>23</v>
      </c>
      <c r="V55" s="372" t="s">
        <v>23</v>
      </c>
      <c r="W55" s="372" t="s">
        <v>23</v>
      </c>
      <c r="X55" s="372" t="s">
        <v>23</v>
      </c>
      <c r="Y55" s="372" t="s">
        <v>23</v>
      </c>
      <c r="Z55" s="372" t="s">
        <v>23</v>
      </c>
      <c r="AA55" s="372" t="s">
        <v>23</v>
      </c>
      <c r="AB55" s="372" t="s">
        <v>23</v>
      </c>
      <c r="AC55" s="372" t="s">
        <v>23</v>
      </c>
      <c r="AD55" s="372" t="s">
        <v>23</v>
      </c>
      <c r="AE55" s="372" t="s">
        <v>23</v>
      </c>
      <c r="AF55" s="62"/>
    </row>
    <row r="56" spans="2:32" ht="26.85" customHeight="1" x14ac:dyDescent="0.25">
      <c r="B56" s="345" t="s">
        <v>102</v>
      </c>
      <c r="C56" s="347"/>
      <c r="D56" s="180" t="s">
        <v>25</v>
      </c>
      <c r="E56" s="180"/>
      <c r="F56" s="456">
        <f>SUM(F50:F52)</f>
        <v>34</v>
      </c>
      <c r="G56" s="456">
        <f>SUM(G50:G52)</f>
        <v>36</v>
      </c>
      <c r="H56" s="750" t="s">
        <v>23</v>
      </c>
      <c r="I56" s="456">
        <f>SUM(I50:I55)</f>
        <v>70</v>
      </c>
      <c r="J56" s="699">
        <f>SUM(J50:J52)</f>
        <v>28</v>
      </c>
      <c r="K56" s="699">
        <f>SUM(K50:K52)</f>
        <v>35</v>
      </c>
      <c r="L56" s="721" t="s">
        <v>23</v>
      </c>
      <c r="M56" s="699">
        <f>SUM(M50:M55)</f>
        <v>63</v>
      </c>
      <c r="N56" s="244">
        <f>SUM(N50:N52)</f>
        <v>20</v>
      </c>
      <c r="O56" s="244">
        <f>SUM(O50:O52)</f>
        <v>33</v>
      </c>
      <c r="P56" s="244">
        <f>SUM(P50:P52)</f>
        <v>53</v>
      </c>
      <c r="Q56" s="372" t="s">
        <v>23</v>
      </c>
      <c r="R56" s="372" t="s">
        <v>23</v>
      </c>
      <c r="S56" s="372" t="s">
        <v>23</v>
      </c>
      <c r="T56" s="372" t="s">
        <v>23</v>
      </c>
      <c r="U56" s="372" t="s">
        <v>23</v>
      </c>
      <c r="V56" s="372" t="s">
        <v>23</v>
      </c>
      <c r="W56" s="372" t="s">
        <v>23</v>
      </c>
      <c r="X56" s="372" t="s">
        <v>23</v>
      </c>
      <c r="Y56" s="372" t="s">
        <v>23</v>
      </c>
      <c r="Z56" s="372" t="s">
        <v>23</v>
      </c>
      <c r="AA56" s="372" t="s">
        <v>23</v>
      </c>
      <c r="AB56" s="372" t="s">
        <v>23</v>
      </c>
      <c r="AC56" s="372" t="s">
        <v>23</v>
      </c>
      <c r="AD56" s="372" t="s">
        <v>23</v>
      </c>
      <c r="AE56" s="372" t="s">
        <v>23</v>
      </c>
      <c r="AF56" s="62"/>
    </row>
    <row r="57" spans="2:32" ht="26.85" customHeight="1" x14ac:dyDescent="0.25">
      <c r="B57" s="231" t="s">
        <v>122</v>
      </c>
      <c r="C57" s="180"/>
      <c r="D57" s="180" t="s">
        <v>31</v>
      </c>
      <c r="E57" s="180"/>
      <c r="F57" s="458">
        <f>SUM(F58:F62)/$I$44</f>
        <v>2.7397260273972601E-2</v>
      </c>
      <c r="G57" s="458">
        <f>SUM(G58:G62)/$I$44</f>
        <v>1.3698630136986301E-2</v>
      </c>
      <c r="H57" s="750" t="s">
        <v>23</v>
      </c>
      <c r="I57" s="458">
        <f>SUM(F57:G57)</f>
        <v>4.1095890410958902E-2</v>
      </c>
      <c r="J57" s="746">
        <f>SUM(J58:J62)/$M$44</f>
        <v>6.9444444444444448E-2</v>
      </c>
      <c r="K57" s="746">
        <f>SUM(K58:K62)/$M$44</f>
        <v>5.5555555555555552E-2</v>
      </c>
      <c r="L57" s="721" t="s">
        <v>23</v>
      </c>
      <c r="M57" s="746">
        <f>SUM(J57:K57)</f>
        <v>0.125</v>
      </c>
      <c r="N57" s="444">
        <f>N64/P11</f>
        <v>0.17499999999999999</v>
      </c>
      <c r="O57" s="444">
        <f>O64/P11</f>
        <v>0.16250000000000001</v>
      </c>
      <c r="P57" s="444">
        <f>P64/P11</f>
        <v>0.33750000000000002</v>
      </c>
      <c r="Q57" s="372" t="s">
        <v>23</v>
      </c>
      <c r="R57" s="372" t="s">
        <v>23</v>
      </c>
      <c r="S57" s="372" t="s">
        <v>23</v>
      </c>
      <c r="T57" s="372" t="s">
        <v>23</v>
      </c>
      <c r="U57" s="372" t="s">
        <v>23</v>
      </c>
      <c r="V57" s="372" t="s">
        <v>23</v>
      </c>
      <c r="W57" s="372" t="s">
        <v>23</v>
      </c>
      <c r="X57" s="372" t="s">
        <v>23</v>
      </c>
      <c r="Y57" s="372" t="s">
        <v>23</v>
      </c>
      <c r="Z57" s="372" t="s">
        <v>23</v>
      </c>
      <c r="AA57" s="372" t="s">
        <v>23</v>
      </c>
      <c r="AB57" s="372" t="s">
        <v>23</v>
      </c>
      <c r="AC57" s="372" t="s">
        <v>23</v>
      </c>
      <c r="AD57" s="372" t="s">
        <v>23</v>
      </c>
      <c r="AE57" s="372" t="s">
        <v>23</v>
      </c>
      <c r="AF57" s="62"/>
    </row>
    <row r="58" spans="2:32" ht="26.85" customHeight="1" x14ac:dyDescent="0.25">
      <c r="B58" s="345" t="s">
        <v>108</v>
      </c>
      <c r="C58" s="347"/>
      <c r="D58" s="180" t="s">
        <v>25</v>
      </c>
      <c r="E58" s="180"/>
      <c r="F58" s="750" t="s">
        <v>23</v>
      </c>
      <c r="G58" s="750" t="s">
        <v>23</v>
      </c>
      <c r="H58" s="750" t="s">
        <v>23</v>
      </c>
      <c r="I58" s="751">
        <f t="shared" ref="I58:I60" si="13">SUM(F58:G58)</f>
        <v>0</v>
      </c>
      <c r="J58" s="721" t="s">
        <v>23</v>
      </c>
      <c r="K58" s="721" t="s">
        <v>23</v>
      </c>
      <c r="L58" s="721" t="s">
        <v>23</v>
      </c>
      <c r="M58" s="699">
        <f t="shared" ref="M58:M60" si="14">SUM(J58:K58)</f>
        <v>0</v>
      </c>
      <c r="N58" s="244">
        <v>0</v>
      </c>
      <c r="O58" s="244">
        <v>0</v>
      </c>
      <c r="P58" s="244">
        <f>SUM(N58:O58)</f>
        <v>0</v>
      </c>
      <c r="Q58" s="372" t="s">
        <v>23</v>
      </c>
      <c r="R58" s="372" t="s">
        <v>23</v>
      </c>
      <c r="S58" s="372" t="s">
        <v>23</v>
      </c>
      <c r="T58" s="372" t="s">
        <v>23</v>
      </c>
      <c r="U58" s="372" t="s">
        <v>23</v>
      </c>
      <c r="V58" s="372" t="s">
        <v>23</v>
      </c>
      <c r="W58" s="372" t="s">
        <v>23</v>
      </c>
      <c r="X58" s="372" t="s">
        <v>23</v>
      </c>
      <c r="Y58" s="372" t="s">
        <v>23</v>
      </c>
      <c r="Z58" s="372" t="s">
        <v>23</v>
      </c>
      <c r="AA58" s="372" t="s">
        <v>23</v>
      </c>
      <c r="AB58" s="372" t="s">
        <v>23</v>
      </c>
      <c r="AC58" s="372" t="s">
        <v>23</v>
      </c>
      <c r="AD58" s="372" t="s">
        <v>23</v>
      </c>
      <c r="AE58" s="372" t="s">
        <v>23</v>
      </c>
      <c r="AF58" s="62"/>
    </row>
    <row r="59" spans="2:32" ht="26.85" customHeight="1" x14ac:dyDescent="0.25">
      <c r="B59" s="345" t="s">
        <v>109</v>
      </c>
      <c r="C59" s="347"/>
      <c r="D59" s="180" t="s">
        <v>25</v>
      </c>
      <c r="E59" s="180"/>
      <c r="F59" s="456">
        <v>2</v>
      </c>
      <c r="G59" s="456">
        <v>1</v>
      </c>
      <c r="H59" s="750" t="s">
        <v>23</v>
      </c>
      <c r="I59" s="751">
        <f t="shared" si="13"/>
        <v>3</v>
      </c>
      <c r="J59" s="699">
        <v>5</v>
      </c>
      <c r="K59" s="699">
        <v>4</v>
      </c>
      <c r="L59" s="721" t="s">
        <v>23</v>
      </c>
      <c r="M59" s="699">
        <f t="shared" si="14"/>
        <v>9</v>
      </c>
      <c r="N59" s="244">
        <v>10</v>
      </c>
      <c r="O59" s="244">
        <v>8</v>
      </c>
      <c r="P59" s="244">
        <f>SUM(N59:O59)</f>
        <v>18</v>
      </c>
      <c r="Q59" s="372" t="s">
        <v>23</v>
      </c>
      <c r="R59" s="372" t="s">
        <v>23</v>
      </c>
      <c r="S59" s="372" t="s">
        <v>23</v>
      </c>
      <c r="T59" s="372" t="s">
        <v>23</v>
      </c>
      <c r="U59" s="372" t="s">
        <v>23</v>
      </c>
      <c r="V59" s="372" t="s">
        <v>23</v>
      </c>
      <c r="W59" s="372" t="s">
        <v>23</v>
      </c>
      <c r="X59" s="372" t="s">
        <v>23</v>
      </c>
      <c r="Y59" s="372" t="s">
        <v>23</v>
      </c>
      <c r="Z59" s="372" t="s">
        <v>23</v>
      </c>
      <c r="AA59" s="372" t="s">
        <v>23</v>
      </c>
      <c r="AB59" s="372" t="s">
        <v>23</v>
      </c>
      <c r="AC59" s="372" t="s">
        <v>23</v>
      </c>
      <c r="AD59" s="372" t="s">
        <v>23</v>
      </c>
      <c r="AE59" s="372" t="s">
        <v>23</v>
      </c>
      <c r="AF59" s="62"/>
    </row>
    <row r="60" spans="2:32" ht="26.85" customHeight="1" x14ac:dyDescent="0.25">
      <c r="B60" s="345" t="s">
        <v>110</v>
      </c>
      <c r="C60" s="347"/>
      <c r="D60" s="180" t="s">
        <v>25</v>
      </c>
      <c r="E60" s="180"/>
      <c r="F60" s="750" t="s">
        <v>23</v>
      </c>
      <c r="G60" s="750" t="s">
        <v>23</v>
      </c>
      <c r="H60" s="750" t="s">
        <v>23</v>
      </c>
      <c r="I60" s="751">
        <f t="shared" si="13"/>
        <v>0</v>
      </c>
      <c r="J60" s="721" t="s">
        <v>23</v>
      </c>
      <c r="K60" s="721" t="s">
        <v>23</v>
      </c>
      <c r="L60" s="721" t="s">
        <v>23</v>
      </c>
      <c r="M60" s="699">
        <f t="shared" si="14"/>
        <v>0</v>
      </c>
      <c r="N60" s="244">
        <v>4</v>
      </c>
      <c r="O60" s="244">
        <v>5</v>
      </c>
      <c r="P60" s="244">
        <f>SUM(N60:O60)</f>
        <v>9</v>
      </c>
      <c r="Q60" s="372" t="s">
        <v>23</v>
      </c>
      <c r="R60" s="372" t="s">
        <v>23</v>
      </c>
      <c r="S60" s="372" t="s">
        <v>23</v>
      </c>
      <c r="T60" s="372" t="s">
        <v>23</v>
      </c>
      <c r="U60" s="372" t="s">
        <v>23</v>
      </c>
      <c r="V60" s="372" t="s">
        <v>23</v>
      </c>
      <c r="W60" s="372" t="s">
        <v>23</v>
      </c>
      <c r="X60" s="372" t="s">
        <v>23</v>
      </c>
      <c r="Y60" s="372" t="s">
        <v>23</v>
      </c>
      <c r="Z60" s="372" t="s">
        <v>23</v>
      </c>
      <c r="AA60" s="372" t="s">
        <v>23</v>
      </c>
      <c r="AB60" s="372" t="s">
        <v>23</v>
      </c>
      <c r="AC60" s="372" t="s">
        <v>23</v>
      </c>
      <c r="AD60" s="372" t="s">
        <v>23</v>
      </c>
      <c r="AE60" s="372" t="s">
        <v>23</v>
      </c>
      <c r="AF60" s="62"/>
    </row>
    <row r="61" spans="2:32" ht="26.85" customHeight="1" x14ac:dyDescent="0.25">
      <c r="B61" s="345" t="s">
        <v>111</v>
      </c>
      <c r="C61" s="347"/>
      <c r="D61" s="180" t="s">
        <v>25</v>
      </c>
      <c r="E61" s="180"/>
      <c r="F61" s="750" t="s">
        <v>23</v>
      </c>
      <c r="G61" s="750" t="s">
        <v>23</v>
      </c>
      <c r="H61" s="750" t="s">
        <v>23</v>
      </c>
      <c r="I61" s="751">
        <v>0</v>
      </c>
      <c r="J61" s="721" t="s">
        <v>23</v>
      </c>
      <c r="K61" s="721" t="s">
        <v>23</v>
      </c>
      <c r="L61" s="721" t="s">
        <v>23</v>
      </c>
      <c r="M61" s="699">
        <v>0</v>
      </c>
      <c r="N61" s="380" t="s">
        <v>23</v>
      </c>
      <c r="O61" s="380" t="s">
        <v>23</v>
      </c>
      <c r="P61" s="380" t="s">
        <v>23</v>
      </c>
      <c r="Q61" s="372" t="s">
        <v>23</v>
      </c>
      <c r="R61" s="372" t="s">
        <v>23</v>
      </c>
      <c r="S61" s="372" t="s">
        <v>23</v>
      </c>
      <c r="T61" s="372" t="s">
        <v>23</v>
      </c>
      <c r="U61" s="372" t="s">
        <v>23</v>
      </c>
      <c r="V61" s="372" t="s">
        <v>23</v>
      </c>
      <c r="W61" s="372" t="s">
        <v>23</v>
      </c>
      <c r="X61" s="372" t="s">
        <v>23</v>
      </c>
      <c r="Y61" s="372" t="s">
        <v>23</v>
      </c>
      <c r="Z61" s="372" t="s">
        <v>23</v>
      </c>
      <c r="AA61" s="372" t="s">
        <v>23</v>
      </c>
      <c r="AB61" s="372" t="s">
        <v>23</v>
      </c>
      <c r="AC61" s="372" t="s">
        <v>23</v>
      </c>
      <c r="AD61" s="372" t="s">
        <v>23</v>
      </c>
      <c r="AE61" s="372" t="s">
        <v>23</v>
      </c>
      <c r="AF61" s="62"/>
    </row>
    <row r="62" spans="2:32" ht="26.85" customHeight="1" x14ac:dyDescent="0.25">
      <c r="B62" s="345" t="s">
        <v>112</v>
      </c>
      <c r="C62" s="347"/>
      <c r="D62" s="180" t="s">
        <v>25</v>
      </c>
      <c r="E62" s="180"/>
      <c r="F62" s="750" t="s">
        <v>23</v>
      </c>
      <c r="G62" s="750" t="s">
        <v>23</v>
      </c>
      <c r="H62" s="750" t="s">
        <v>23</v>
      </c>
      <c r="I62" s="751">
        <v>0</v>
      </c>
      <c r="J62" s="721" t="s">
        <v>23</v>
      </c>
      <c r="K62" s="721" t="s">
        <v>23</v>
      </c>
      <c r="L62" s="721" t="s">
        <v>23</v>
      </c>
      <c r="M62" s="699">
        <v>0</v>
      </c>
      <c r="N62" s="380" t="s">
        <v>23</v>
      </c>
      <c r="O62" s="380" t="s">
        <v>23</v>
      </c>
      <c r="P62" s="380" t="s">
        <v>23</v>
      </c>
      <c r="Q62" s="372" t="s">
        <v>23</v>
      </c>
      <c r="R62" s="372" t="s">
        <v>23</v>
      </c>
      <c r="S62" s="372" t="s">
        <v>23</v>
      </c>
      <c r="T62" s="372" t="s">
        <v>23</v>
      </c>
      <c r="U62" s="372" t="s">
        <v>23</v>
      </c>
      <c r="V62" s="372" t="s">
        <v>23</v>
      </c>
      <c r="W62" s="372" t="s">
        <v>23</v>
      </c>
      <c r="X62" s="372" t="s">
        <v>23</v>
      </c>
      <c r="Y62" s="372" t="s">
        <v>23</v>
      </c>
      <c r="Z62" s="372" t="s">
        <v>23</v>
      </c>
      <c r="AA62" s="372" t="s">
        <v>23</v>
      </c>
      <c r="AB62" s="372" t="s">
        <v>23</v>
      </c>
      <c r="AC62" s="372" t="s">
        <v>23</v>
      </c>
      <c r="AD62" s="372" t="s">
        <v>23</v>
      </c>
      <c r="AE62" s="372" t="s">
        <v>23</v>
      </c>
      <c r="AF62" s="62"/>
    </row>
    <row r="63" spans="2:32" ht="26.85" customHeight="1" x14ac:dyDescent="0.25">
      <c r="B63" s="345" t="s">
        <v>230</v>
      </c>
      <c r="C63" s="344"/>
      <c r="D63" s="180" t="s">
        <v>25</v>
      </c>
      <c r="E63" s="180"/>
      <c r="F63" s="750" t="s">
        <v>23</v>
      </c>
      <c r="G63" s="750" t="s">
        <v>23</v>
      </c>
      <c r="H63" s="750" t="s">
        <v>23</v>
      </c>
      <c r="I63" s="751">
        <v>0</v>
      </c>
      <c r="J63" s="721" t="s">
        <v>23</v>
      </c>
      <c r="K63" s="721" t="s">
        <v>23</v>
      </c>
      <c r="L63" s="721" t="s">
        <v>23</v>
      </c>
      <c r="M63" s="699">
        <v>0</v>
      </c>
      <c r="N63" s="380" t="s">
        <v>23</v>
      </c>
      <c r="O63" s="380" t="s">
        <v>23</v>
      </c>
      <c r="P63" s="380" t="s">
        <v>23</v>
      </c>
      <c r="Q63" s="372" t="s">
        <v>23</v>
      </c>
      <c r="R63" s="372" t="s">
        <v>23</v>
      </c>
      <c r="S63" s="372" t="s">
        <v>23</v>
      </c>
      <c r="T63" s="372" t="s">
        <v>23</v>
      </c>
      <c r="U63" s="372" t="s">
        <v>23</v>
      </c>
      <c r="V63" s="372" t="s">
        <v>23</v>
      </c>
      <c r="W63" s="372" t="s">
        <v>23</v>
      </c>
      <c r="X63" s="372" t="s">
        <v>23</v>
      </c>
      <c r="Y63" s="372" t="s">
        <v>23</v>
      </c>
      <c r="Z63" s="372" t="s">
        <v>23</v>
      </c>
      <c r="AA63" s="372" t="s">
        <v>23</v>
      </c>
      <c r="AB63" s="372" t="s">
        <v>23</v>
      </c>
      <c r="AC63" s="372" t="s">
        <v>23</v>
      </c>
      <c r="AD63" s="372" t="s">
        <v>23</v>
      </c>
      <c r="AE63" s="372" t="s">
        <v>23</v>
      </c>
      <c r="AF63" s="62"/>
    </row>
    <row r="64" spans="2:32" ht="26.85" customHeight="1" x14ac:dyDescent="0.25">
      <c r="B64" s="347" t="s">
        <v>102</v>
      </c>
      <c r="C64" s="347"/>
      <c r="D64" s="180" t="s">
        <v>25</v>
      </c>
      <c r="E64" s="180"/>
      <c r="F64" s="456">
        <f>SUM(F58:F62)</f>
        <v>2</v>
      </c>
      <c r="G64" s="456">
        <f>SUM(G58:G60)</f>
        <v>1</v>
      </c>
      <c r="H64" s="750" t="s">
        <v>23</v>
      </c>
      <c r="I64" s="456">
        <f>SUM(I58:I63)</f>
        <v>3</v>
      </c>
      <c r="J64" s="699">
        <f>SUM(J58:J62)</f>
        <v>5</v>
      </c>
      <c r="K64" s="699">
        <f>SUM(K58:K60)</f>
        <v>4</v>
      </c>
      <c r="L64" s="699">
        <v>0</v>
      </c>
      <c r="M64" s="699">
        <f>SUM(M58:M63)</f>
        <v>9</v>
      </c>
      <c r="N64" s="244">
        <f>SUM(N58:N60)</f>
        <v>14</v>
      </c>
      <c r="O64" s="244">
        <f>SUM(O58:O60)</f>
        <v>13</v>
      </c>
      <c r="P64" s="244">
        <f>SUM(P58:P60)</f>
        <v>27</v>
      </c>
      <c r="Q64" s="372" t="s">
        <v>23</v>
      </c>
      <c r="R64" s="372" t="s">
        <v>23</v>
      </c>
      <c r="S64" s="372" t="s">
        <v>23</v>
      </c>
      <c r="T64" s="372" t="s">
        <v>23</v>
      </c>
      <c r="U64" s="372" t="s">
        <v>23</v>
      </c>
      <c r="V64" s="372" t="s">
        <v>23</v>
      </c>
      <c r="W64" s="372" t="s">
        <v>23</v>
      </c>
      <c r="X64" s="372" t="s">
        <v>23</v>
      </c>
      <c r="Y64" s="372" t="s">
        <v>23</v>
      </c>
      <c r="Z64" s="372" t="s">
        <v>23</v>
      </c>
      <c r="AA64" s="372" t="s">
        <v>23</v>
      </c>
      <c r="AB64" s="372" t="s">
        <v>23</v>
      </c>
      <c r="AC64" s="372" t="s">
        <v>23</v>
      </c>
      <c r="AD64" s="372" t="s">
        <v>23</v>
      </c>
      <c r="AE64" s="372" t="s">
        <v>23</v>
      </c>
      <c r="AF64" s="62"/>
    </row>
    <row r="65" spans="2:33" ht="26.85" customHeight="1" x14ac:dyDescent="0.25">
      <c r="B65" s="198" t="s">
        <v>102</v>
      </c>
      <c r="C65" s="198"/>
      <c r="D65" s="180"/>
      <c r="E65" s="180"/>
      <c r="F65" s="457">
        <f t="shared" ref="F65:I65" si="15">SUM(F57,F49)</f>
        <v>0.49315068493150682</v>
      </c>
      <c r="G65" s="457">
        <f t="shared" si="15"/>
        <v>0.50684931506849318</v>
      </c>
      <c r="H65" s="458">
        <f t="shared" si="15"/>
        <v>0</v>
      </c>
      <c r="I65" s="458">
        <f t="shared" si="15"/>
        <v>1</v>
      </c>
      <c r="J65" s="706">
        <f t="shared" ref="J65:P65" si="16">SUM(J57,J49)</f>
        <v>0.45833333333333337</v>
      </c>
      <c r="K65" s="706">
        <f t="shared" si="16"/>
        <v>0.54166666666666663</v>
      </c>
      <c r="L65" s="707">
        <f t="shared" si="16"/>
        <v>0</v>
      </c>
      <c r="M65" s="707">
        <f t="shared" si="16"/>
        <v>1</v>
      </c>
      <c r="N65" s="444">
        <f t="shared" si="16"/>
        <v>0.42499999999999999</v>
      </c>
      <c r="O65" s="444">
        <f t="shared" si="16"/>
        <v>0.57499999999999996</v>
      </c>
      <c r="P65" s="383">
        <f t="shared" si="16"/>
        <v>1</v>
      </c>
      <c r="Q65" s="372" t="s">
        <v>23</v>
      </c>
      <c r="R65" s="372" t="s">
        <v>23</v>
      </c>
      <c r="S65" s="372" t="s">
        <v>23</v>
      </c>
      <c r="T65" s="372" t="s">
        <v>23</v>
      </c>
      <c r="U65" s="372" t="s">
        <v>23</v>
      </c>
      <c r="V65" s="372" t="s">
        <v>23</v>
      </c>
      <c r="W65" s="372" t="s">
        <v>23</v>
      </c>
      <c r="X65" s="372" t="s">
        <v>23</v>
      </c>
      <c r="Y65" s="372" t="s">
        <v>23</v>
      </c>
      <c r="Z65" s="372" t="s">
        <v>23</v>
      </c>
      <c r="AA65" s="372" t="s">
        <v>23</v>
      </c>
      <c r="AB65" s="372" t="s">
        <v>23</v>
      </c>
      <c r="AC65" s="372" t="s">
        <v>23</v>
      </c>
      <c r="AD65" s="372" t="s">
        <v>23</v>
      </c>
      <c r="AE65" s="372" t="s">
        <v>23</v>
      </c>
      <c r="AF65" s="62"/>
    </row>
    <row r="66" spans="2:33" s="479" customFormat="1" ht="40.5" customHeight="1" x14ac:dyDescent="0.2">
      <c r="B66" s="934" t="s">
        <v>123</v>
      </c>
      <c r="C66" s="934"/>
      <c r="D66" s="934"/>
      <c r="E66" s="934"/>
      <c r="F66" s="934"/>
      <c r="G66" s="934"/>
      <c r="H66" s="934"/>
      <c r="I66" s="934"/>
      <c r="J66" s="934"/>
      <c r="K66" s="934"/>
      <c r="L66" s="934"/>
      <c r="M66" s="934"/>
      <c r="N66" s="934"/>
      <c r="O66" s="483"/>
      <c r="P66" s="484"/>
      <c r="Q66" s="476"/>
      <c r="R66" s="476"/>
      <c r="S66" s="476"/>
      <c r="T66" s="476"/>
      <c r="U66" s="476"/>
      <c r="V66" s="476"/>
      <c r="W66" s="476"/>
      <c r="X66" s="476"/>
      <c r="Y66" s="476"/>
      <c r="Z66" s="476"/>
      <c r="AA66" s="476"/>
      <c r="AB66" s="476"/>
      <c r="AC66" s="476"/>
      <c r="AD66" s="476"/>
      <c r="AE66" s="476"/>
      <c r="AF66" s="477"/>
      <c r="AG66" s="478"/>
    </row>
    <row r="67" spans="2:33" ht="50.1" customHeight="1" x14ac:dyDescent="0.2">
      <c r="B67" s="320"/>
      <c r="C67" s="320"/>
      <c r="D67" s="320"/>
      <c r="E67" s="320"/>
      <c r="F67" s="480"/>
      <c r="G67" s="480"/>
      <c r="H67" s="480"/>
      <c r="I67" s="480"/>
      <c r="J67" s="735"/>
      <c r="K67" s="735"/>
      <c r="L67" s="735"/>
      <c r="M67" s="735"/>
      <c r="N67" s="481"/>
      <c r="O67" s="481"/>
      <c r="P67" s="481"/>
      <c r="Q67" s="482"/>
      <c r="R67" s="482"/>
      <c r="S67" s="482"/>
      <c r="T67" s="482"/>
      <c r="U67" s="482"/>
      <c r="V67" s="482"/>
      <c r="W67" s="482"/>
      <c r="X67" s="482"/>
      <c r="Y67" s="482"/>
      <c r="Z67" s="482"/>
      <c r="AA67" s="482"/>
      <c r="AB67" s="482"/>
      <c r="AC67" s="482"/>
      <c r="AD67" s="482"/>
      <c r="AE67" s="482"/>
      <c r="AF67" s="62"/>
    </row>
    <row r="68" spans="2:33" ht="26.85" customHeight="1" x14ac:dyDescent="0.35">
      <c r="B68" s="6" t="s">
        <v>200</v>
      </c>
      <c r="C68" s="305"/>
      <c r="D68" s="7" t="s">
        <v>9</v>
      </c>
      <c r="E68" s="306"/>
      <c r="F68" s="930" t="s">
        <v>10</v>
      </c>
      <c r="G68" s="930"/>
      <c r="H68" s="930"/>
      <c r="I68" s="930"/>
      <c r="J68" s="980" t="s">
        <v>11</v>
      </c>
      <c r="K68" s="980"/>
      <c r="L68" s="980"/>
      <c r="M68" s="980"/>
      <c r="N68" s="981" t="s">
        <v>12</v>
      </c>
      <c r="O68" s="981"/>
      <c r="P68" s="981"/>
      <c r="Q68" s="981" t="s">
        <v>13</v>
      </c>
      <c r="R68" s="981"/>
      <c r="S68" s="981"/>
      <c r="T68" s="981" t="s">
        <v>14</v>
      </c>
      <c r="U68" s="981"/>
      <c r="V68" s="981"/>
      <c r="W68" s="981" t="s">
        <v>15</v>
      </c>
      <c r="X68" s="981"/>
      <c r="Y68" s="981"/>
      <c r="Z68" s="981" t="s">
        <v>16</v>
      </c>
      <c r="AA68" s="981"/>
      <c r="AB68" s="981"/>
      <c r="AC68" s="981" t="s">
        <v>17</v>
      </c>
      <c r="AD68" s="981"/>
      <c r="AE68" s="981"/>
      <c r="AF68" s="62"/>
    </row>
    <row r="69" spans="2:33" ht="26.85" customHeight="1" x14ac:dyDescent="0.25">
      <c r="B69" s="195"/>
      <c r="C69" s="195"/>
      <c r="D69" s="198"/>
      <c r="E69" s="198"/>
      <c r="F69" s="182" t="s">
        <v>99</v>
      </c>
      <c r="G69" s="182" t="s">
        <v>100</v>
      </c>
      <c r="H69" s="532" t="s">
        <v>101</v>
      </c>
      <c r="I69" s="182" t="s">
        <v>102</v>
      </c>
      <c r="J69" s="452" t="s">
        <v>99</v>
      </c>
      <c r="K69" s="452" t="s">
        <v>100</v>
      </c>
      <c r="L69" s="690" t="s">
        <v>101</v>
      </c>
      <c r="M69" s="452" t="s">
        <v>102</v>
      </c>
      <c r="N69" s="183" t="s">
        <v>99</v>
      </c>
      <c r="O69" s="183" t="s">
        <v>100</v>
      </c>
      <c r="P69" s="183" t="s">
        <v>102</v>
      </c>
      <c r="Q69" s="183" t="s">
        <v>99</v>
      </c>
      <c r="R69" s="183" t="s">
        <v>100</v>
      </c>
      <c r="S69" s="183" t="s">
        <v>102</v>
      </c>
      <c r="T69" s="183" t="s">
        <v>99</v>
      </c>
      <c r="U69" s="183" t="s">
        <v>100</v>
      </c>
      <c r="V69" s="183" t="s">
        <v>102</v>
      </c>
      <c r="W69" s="183" t="s">
        <v>99</v>
      </c>
      <c r="X69" s="183" t="s">
        <v>100</v>
      </c>
      <c r="Y69" s="183" t="s">
        <v>102</v>
      </c>
      <c r="Z69" s="183" t="s">
        <v>99</v>
      </c>
      <c r="AA69" s="183" t="s">
        <v>100</v>
      </c>
      <c r="AB69" s="183" t="s">
        <v>102</v>
      </c>
      <c r="AC69" s="183" t="s">
        <v>99</v>
      </c>
      <c r="AD69" s="183" t="s">
        <v>100</v>
      </c>
      <c r="AE69" s="183" t="s">
        <v>102</v>
      </c>
      <c r="AF69" s="58"/>
    </row>
    <row r="70" spans="2:33" ht="26.85" customHeight="1" x14ac:dyDescent="0.25">
      <c r="B70" s="193" t="s">
        <v>232</v>
      </c>
      <c r="C70" s="188"/>
      <c r="D70" s="180" t="s">
        <v>25</v>
      </c>
      <c r="E70" s="180"/>
      <c r="F70" s="756">
        <v>66211.58</v>
      </c>
      <c r="G70" s="756">
        <v>80053.14</v>
      </c>
      <c r="H70" s="750" t="s">
        <v>23</v>
      </c>
      <c r="I70" s="756">
        <f t="shared" ref="I70" si="17">SUM(F70:G70)</f>
        <v>146264.72</v>
      </c>
      <c r="J70" s="700">
        <v>69475.53</v>
      </c>
      <c r="K70" s="700">
        <v>94961.75</v>
      </c>
      <c r="L70" s="717" t="s">
        <v>23</v>
      </c>
      <c r="M70" s="700">
        <f t="shared" ref="M70" si="18">SUM(J70:K70)</f>
        <v>164437.28</v>
      </c>
      <c r="N70" s="372" t="s">
        <v>23</v>
      </c>
      <c r="O70" s="372" t="s">
        <v>23</v>
      </c>
      <c r="P70" s="372" t="s">
        <v>23</v>
      </c>
      <c r="Q70" s="372" t="s">
        <v>23</v>
      </c>
      <c r="R70" s="372" t="s">
        <v>23</v>
      </c>
      <c r="S70" s="372" t="s">
        <v>23</v>
      </c>
      <c r="T70" s="372" t="s">
        <v>23</v>
      </c>
      <c r="U70" s="372" t="s">
        <v>23</v>
      </c>
      <c r="V70" s="372" t="s">
        <v>23</v>
      </c>
      <c r="W70" s="372" t="s">
        <v>23</v>
      </c>
      <c r="X70" s="372" t="s">
        <v>23</v>
      </c>
      <c r="Y70" s="372" t="s">
        <v>23</v>
      </c>
      <c r="Z70" s="372" t="s">
        <v>23</v>
      </c>
      <c r="AA70" s="372" t="s">
        <v>23</v>
      </c>
      <c r="AB70" s="372" t="s">
        <v>23</v>
      </c>
      <c r="AC70" s="372" t="s">
        <v>23</v>
      </c>
      <c r="AD70" s="372" t="s">
        <v>23</v>
      </c>
      <c r="AE70" s="372" t="s">
        <v>23</v>
      </c>
      <c r="AF70" s="50"/>
    </row>
    <row r="71" spans="2:33" ht="26.85" customHeight="1" x14ac:dyDescent="0.2">
      <c r="B71" s="526" t="s">
        <v>202</v>
      </c>
      <c r="C71" s="523"/>
      <c r="D71" s="518"/>
      <c r="E71" s="518"/>
      <c r="F71" s="463"/>
      <c r="G71" s="463"/>
      <c r="H71" s="463"/>
      <c r="I71" s="463"/>
      <c r="J71" s="715"/>
      <c r="K71" s="715"/>
      <c r="L71" s="715"/>
      <c r="M71" s="715"/>
      <c r="N71" s="528"/>
      <c r="O71" s="528"/>
      <c r="P71" s="528"/>
      <c r="Q71" s="265"/>
      <c r="R71" s="265"/>
      <c r="S71" s="558"/>
      <c r="T71" s="528"/>
      <c r="U71" s="528"/>
      <c r="V71" s="528"/>
      <c r="W71" s="527"/>
      <c r="X71" s="527"/>
      <c r="Y71" s="527"/>
      <c r="Z71" s="527"/>
      <c r="AA71" s="527"/>
      <c r="AB71" s="527"/>
      <c r="AC71" s="528"/>
      <c r="AD71" s="528"/>
      <c r="AE71" s="528"/>
      <c r="AF71" s="50"/>
    </row>
    <row r="72" spans="2:33" ht="50.1" customHeight="1" x14ac:dyDescent="0.2">
      <c r="B72" s="542"/>
      <c r="C72" s="285"/>
      <c r="D72" s="10"/>
      <c r="E72" s="10"/>
      <c r="F72" s="460"/>
      <c r="G72" s="460"/>
      <c r="H72" s="460"/>
      <c r="I72" s="460"/>
      <c r="J72" s="451"/>
      <c r="K72" s="451"/>
      <c r="L72" s="451"/>
      <c r="M72" s="451"/>
      <c r="N72" s="333"/>
      <c r="O72" s="333"/>
      <c r="P72" s="333"/>
      <c r="Q72" s="482"/>
      <c r="R72" s="482"/>
      <c r="S72" s="543"/>
      <c r="T72" s="333"/>
      <c r="U72" s="333"/>
      <c r="V72" s="333"/>
      <c r="W72" s="334"/>
      <c r="X72" s="334"/>
      <c r="Y72" s="334"/>
      <c r="Z72" s="334"/>
      <c r="AA72" s="334"/>
      <c r="AB72" s="334"/>
      <c r="AC72" s="333"/>
      <c r="AD72" s="333"/>
      <c r="AE72" s="333"/>
      <c r="AF72" s="50"/>
    </row>
    <row r="73" spans="2:33" ht="26.85" customHeight="1" x14ac:dyDescent="0.25">
      <c r="B73" s="6" t="s">
        <v>127</v>
      </c>
      <c r="C73" s="6"/>
      <c r="D73" s="7" t="s">
        <v>9</v>
      </c>
      <c r="E73" s="306"/>
      <c r="F73" s="930" t="s">
        <v>10</v>
      </c>
      <c r="G73" s="930"/>
      <c r="H73" s="930"/>
      <c r="I73" s="930"/>
      <c r="J73" s="980" t="s">
        <v>11</v>
      </c>
      <c r="K73" s="980"/>
      <c r="L73" s="980"/>
      <c r="M73" s="980"/>
      <c r="N73" s="981" t="s">
        <v>12</v>
      </c>
      <c r="O73" s="981"/>
      <c r="P73" s="981"/>
      <c r="Q73" s="981" t="s">
        <v>13</v>
      </c>
      <c r="R73" s="981"/>
      <c r="S73" s="981"/>
      <c r="T73" s="981" t="s">
        <v>14</v>
      </c>
      <c r="U73" s="981"/>
      <c r="V73" s="981"/>
      <c r="W73" s="981" t="s">
        <v>15</v>
      </c>
      <c r="X73" s="981"/>
      <c r="Y73" s="981"/>
      <c r="Z73" s="981" t="s">
        <v>16</v>
      </c>
      <c r="AA73" s="981"/>
      <c r="AB73" s="981"/>
      <c r="AC73" s="981" t="s">
        <v>17</v>
      </c>
      <c r="AD73" s="981"/>
      <c r="AE73" s="981"/>
      <c r="AF73" s="50"/>
    </row>
    <row r="74" spans="2:33" ht="26.85" customHeight="1" x14ac:dyDescent="0.25">
      <c r="B74" s="198"/>
      <c r="C74" s="198"/>
      <c r="D74" s="180"/>
      <c r="E74" s="180"/>
      <c r="F74" s="182" t="s">
        <v>99</v>
      </c>
      <c r="G74" s="182" t="s">
        <v>100</v>
      </c>
      <c r="H74" s="532" t="s">
        <v>101</v>
      </c>
      <c r="I74" s="182" t="s">
        <v>102</v>
      </c>
      <c r="J74" s="452" t="s">
        <v>99</v>
      </c>
      <c r="K74" s="452" t="s">
        <v>100</v>
      </c>
      <c r="L74" s="690" t="s">
        <v>101</v>
      </c>
      <c r="M74" s="452" t="s">
        <v>102</v>
      </c>
      <c r="N74" s="183" t="s">
        <v>99</v>
      </c>
      <c r="O74" s="183" t="s">
        <v>100</v>
      </c>
      <c r="P74" s="183" t="s">
        <v>102</v>
      </c>
      <c r="Q74" s="183" t="s">
        <v>99</v>
      </c>
      <c r="R74" s="183" t="s">
        <v>100</v>
      </c>
      <c r="S74" s="183" t="s">
        <v>102</v>
      </c>
      <c r="T74" s="183" t="s">
        <v>99</v>
      </c>
      <c r="U74" s="183" t="s">
        <v>100</v>
      </c>
      <c r="V74" s="183" t="s">
        <v>102</v>
      </c>
      <c r="W74" s="183" t="s">
        <v>99</v>
      </c>
      <c r="X74" s="183" t="s">
        <v>100</v>
      </c>
      <c r="Y74" s="183" t="s">
        <v>102</v>
      </c>
      <c r="Z74" s="183" t="s">
        <v>99</v>
      </c>
      <c r="AA74" s="183" t="s">
        <v>100</v>
      </c>
      <c r="AB74" s="183" t="s">
        <v>102</v>
      </c>
      <c r="AC74" s="183" t="s">
        <v>99</v>
      </c>
      <c r="AD74" s="183" t="s">
        <v>100</v>
      </c>
      <c r="AE74" s="183" t="s">
        <v>102</v>
      </c>
      <c r="AF74" s="58"/>
    </row>
    <row r="75" spans="2:33" ht="26.85" customHeight="1" x14ac:dyDescent="0.25">
      <c r="B75" s="180" t="s">
        <v>128</v>
      </c>
      <c r="C75" s="180"/>
      <c r="D75" s="180" t="s">
        <v>25</v>
      </c>
      <c r="E75" s="180"/>
      <c r="F75" s="456">
        <v>0</v>
      </c>
      <c r="G75" s="456">
        <v>0</v>
      </c>
      <c r="H75" s="750" t="s">
        <v>23</v>
      </c>
      <c r="I75" s="456">
        <f t="shared" ref="I75:I79" si="19">SUM(F75:G75)</f>
        <v>0</v>
      </c>
      <c r="J75" s="699">
        <v>0</v>
      </c>
      <c r="K75" s="699">
        <v>0</v>
      </c>
      <c r="L75" s="721" t="s">
        <v>23</v>
      </c>
      <c r="M75" s="699">
        <f t="shared" ref="M75:M79" si="20">SUM(J75:K75)</f>
        <v>0</v>
      </c>
      <c r="N75" s="373">
        <v>0</v>
      </c>
      <c r="O75" s="373">
        <v>0</v>
      </c>
      <c r="P75" s="373">
        <f t="shared" ref="P75:P81" si="21">SUM(N75:O75)</f>
        <v>0</v>
      </c>
      <c r="Q75" s="191">
        <v>0</v>
      </c>
      <c r="R75" s="191">
        <v>1</v>
      </c>
      <c r="S75" s="191">
        <v>1</v>
      </c>
      <c r="T75" s="374">
        <v>0</v>
      </c>
      <c r="U75" s="374">
        <v>1</v>
      </c>
      <c r="V75" s="374">
        <f>SUM(T75:U75)</f>
        <v>1</v>
      </c>
      <c r="W75" s="374">
        <v>0</v>
      </c>
      <c r="X75" s="374">
        <v>1</v>
      </c>
      <c r="Y75" s="374">
        <f>SUM(W75:X75)</f>
        <v>1</v>
      </c>
      <c r="Z75" s="374">
        <v>0</v>
      </c>
      <c r="AA75" s="374">
        <v>1</v>
      </c>
      <c r="AB75" s="374">
        <f>SUM(Z75:AA75)</f>
        <v>1</v>
      </c>
      <c r="AC75" s="192">
        <v>0</v>
      </c>
      <c r="AD75" s="192">
        <v>1</v>
      </c>
      <c r="AE75" s="192">
        <f>SUM(AC75:AD75)</f>
        <v>1</v>
      </c>
      <c r="AF75" s="59"/>
    </row>
    <row r="76" spans="2:33" ht="26.85" customHeight="1" x14ac:dyDescent="0.25">
      <c r="B76" s="180" t="s">
        <v>129</v>
      </c>
      <c r="C76" s="180"/>
      <c r="D76" s="180" t="s">
        <v>25</v>
      </c>
      <c r="E76" s="180"/>
      <c r="F76" s="456">
        <v>1</v>
      </c>
      <c r="G76" s="456">
        <v>1</v>
      </c>
      <c r="H76" s="750" t="s">
        <v>23</v>
      </c>
      <c r="I76" s="456">
        <f t="shared" si="19"/>
        <v>2</v>
      </c>
      <c r="J76" s="699">
        <v>1</v>
      </c>
      <c r="K76" s="699">
        <v>3</v>
      </c>
      <c r="L76" s="721" t="s">
        <v>23</v>
      </c>
      <c r="M76" s="699">
        <f t="shared" si="20"/>
        <v>4</v>
      </c>
      <c r="N76" s="373">
        <v>2</v>
      </c>
      <c r="O76" s="373">
        <v>3</v>
      </c>
      <c r="P76" s="373">
        <f t="shared" si="21"/>
        <v>5</v>
      </c>
      <c r="Q76" s="372" t="s">
        <v>23</v>
      </c>
      <c r="R76" s="372" t="s">
        <v>23</v>
      </c>
      <c r="S76" s="372" t="s">
        <v>23</v>
      </c>
      <c r="T76" s="372" t="s">
        <v>23</v>
      </c>
      <c r="U76" s="372" t="s">
        <v>23</v>
      </c>
      <c r="V76" s="372" t="s">
        <v>23</v>
      </c>
      <c r="W76" s="372" t="s">
        <v>23</v>
      </c>
      <c r="X76" s="372" t="s">
        <v>23</v>
      </c>
      <c r="Y76" s="372" t="s">
        <v>23</v>
      </c>
      <c r="Z76" s="372" t="s">
        <v>23</v>
      </c>
      <c r="AA76" s="372" t="s">
        <v>23</v>
      </c>
      <c r="AB76" s="372" t="s">
        <v>23</v>
      </c>
      <c r="AC76" s="372" t="s">
        <v>23</v>
      </c>
      <c r="AD76" s="372" t="s">
        <v>23</v>
      </c>
      <c r="AE76" s="372" t="s">
        <v>23</v>
      </c>
      <c r="AF76" s="59"/>
    </row>
    <row r="77" spans="2:33" ht="26.85" customHeight="1" x14ac:dyDescent="0.25">
      <c r="B77" s="180" t="s">
        <v>130</v>
      </c>
      <c r="C77" s="180"/>
      <c r="D77" s="180" t="s">
        <v>25</v>
      </c>
      <c r="E77" s="180"/>
      <c r="F77" s="456">
        <v>3</v>
      </c>
      <c r="G77" s="456">
        <v>3</v>
      </c>
      <c r="H77" s="750" t="s">
        <v>23</v>
      </c>
      <c r="I77" s="456">
        <f t="shared" si="19"/>
        <v>6</v>
      </c>
      <c r="J77" s="699">
        <v>2</v>
      </c>
      <c r="K77" s="699">
        <v>7</v>
      </c>
      <c r="L77" s="721" t="s">
        <v>23</v>
      </c>
      <c r="M77" s="699">
        <f t="shared" si="20"/>
        <v>9</v>
      </c>
      <c r="N77" s="373">
        <v>2</v>
      </c>
      <c r="O77" s="373">
        <v>9</v>
      </c>
      <c r="P77" s="373">
        <f t="shared" si="21"/>
        <v>11</v>
      </c>
      <c r="Q77" s="191">
        <v>3</v>
      </c>
      <c r="R77" s="191">
        <v>16</v>
      </c>
      <c r="S77" s="191">
        <v>19</v>
      </c>
      <c r="T77" s="374">
        <v>3</v>
      </c>
      <c r="U77" s="374">
        <v>20</v>
      </c>
      <c r="V77" s="374">
        <f>SUM(T77:U77)</f>
        <v>23</v>
      </c>
      <c r="W77" s="374">
        <v>2</v>
      </c>
      <c r="X77" s="374">
        <v>19</v>
      </c>
      <c r="Y77" s="374">
        <f>SUM(W77:X77)</f>
        <v>21</v>
      </c>
      <c r="Z77" s="374">
        <v>5</v>
      </c>
      <c r="AA77" s="374">
        <v>14</v>
      </c>
      <c r="AB77" s="374">
        <f>SUM(Z77:AA77)</f>
        <v>19</v>
      </c>
      <c r="AC77" s="192">
        <v>3</v>
      </c>
      <c r="AD77" s="192">
        <v>10</v>
      </c>
      <c r="AE77" s="192">
        <f>SUM(AC77:AD77)</f>
        <v>13</v>
      </c>
      <c r="AF77" s="59"/>
    </row>
    <row r="78" spans="2:33" ht="26.85" customHeight="1" x14ac:dyDescent="0.25">
      <c r="B78" s="193" t="s">
        <v>131</v>
      </c>
      <c r="C78" s="180"/>
      <c r="D78" s="180" t="s">
        <v>25</v>
      </c>
      <c r="E78" s="180"/>
      <c r="F78" s="456">
        <v>4</v>
      </c>
      <c r="G78" s="456">
        <v>10</v>
      </c>
      <c r="H78" s="750" t="s">
        <v>23</v>
      </c>
      <c r="I78" s="456">
        <f t="shared" si="19"/>
        <v>14</v>
      </c>
      <c r="J78" s="699">
        <v>4</v>
      </c>
      <c r="K78" s="699">
        <v>7</v>
      </c>
      <c r="L78" s="721" t="s">
        <v>23</v>
      </c>
      <c r="M78" s="699">
        <f t="shared" si="20"/>
        <v>11</v>
      </c>
      <c r="N78" s="373">
        <v>4</v>
      </c>
      <c r="O78" s="373">
        <v>11</v>
      </c>
      <c r="P78" s="373">
        <f t="shared" si="21"/>
        <v>15</v>
      </c>
      <c r="Q78" s="191">
        <v>8</v>
      </c>
      <c r="R78" s="191">
        <v>25</v>
      </c>
      <c r="S78" s="191">
        <v>33</v>
      </c>
      <c r="T78" s="374">
        <v>8</v>
      </c>
      <c r="U78" s="374">
        <v>20</v>
      </c>
      <c r="V78" s="374">
        <f>SUM(T78:U78)</f>
        <v>28</v>
      </c>
      <c r="W78" s="374">
        <v>8</v>
      </c>
      <c r="X78" s="374">
        <v>23</v>
      </c>
      <c r="Y78" s="374">
        <f>SUM(W78:X78)</f>
        <v>31</v>
      </c>
      <c r="Z78" s="374">
        <v>7</v>
      </c>
      <c r="AA78" s="374">
        <v>25</v>
      </c>
      <c r="AB78" s="374">
        <f>SUM(Z78:AA78)</f>
        <v>32</v>
      </c>
      <c r="AC78" s="192">
        <v>5</v>
      </c>
      <c r="AD78" s="192">
        <v>19</v>
      </c>
      <c r="AE78" s="192">
        <f>SUM(AC78:AD78)</f>
        <v>24</v>
      </c>
      <c r="AF78" s="59"/>
    </row>
    <row r="79" spans="2:33" ht="26.85" customHeight="1" x14ac:dyDescent="0.25">
      <c r="B79" s="193" t="s">
        <v>132</v>
      </c>
      <c r="C79" s="180"/>
      <c r="D79" s="180" t="s">
        <v>25</v>
      </c>
      <c r="E79" s="180"/>
      <c r="F79" s="456">
        <v>28</v>
      </c>
      <c r="G79" s="456">
        <v>23</v>
      </c>
      <c r="H79" s="750" t="s">
        <v>23</v>
      </c>
      <c r="I79" s="456">
        <f t="shared" si="19"/>
        <v>51</v>
      </c>
      <c r="J79" s="699">
        <v>26</v>
      </c>
      <c r="K79" s="699">
        <v>22</v>
      </c>
      <c r="L79" s="721" t="s">
        <v>23</v>
      </c>
      <c r="M79" s="699">
        <f t="shared" si="20"/>
        <v>48</v>
      </c>
      <c r="N79" s="373">
        <v>26</v>
      </c>
      <c r="O79" s="373">
        <v>23</v>
      </c>
      <c r="P79" s="373">
        <f t="shared" si="21"/>
        <v>49</v>
      </c>
      <c r="Q79" s="191">
        <v>49</v>
      </c>
      <c r="R79" s="191">
        <v>147</v>
      </c>
      <c r="S79" s="191">
        <v>196</v>
      </c>
      <c r="T79" s="374">
        <v>43</v>
      </c>
      <c r="U79" s="374">
        <v>147</v>
      </c>
      <c r="V79" s="374">
        <f>SUM(T79:U79)</f>
        <v>190</v>
      </c>
      <c r="W79" s="374">
        <v>46</v>
      </c>
      <c r="X79" s="374">
        <v>156</v>
      </c>
      <c r="Y79" s="374">
        <f>SUM(W79:X79)</f>
        <v>202</v>
      </c>
      <c r="Z79" s="374">
        <v>43</v>
      </c>
      <c r="AA79" s="374">
        <v>186</v>
      </c>
      <c r="AB79" s="374">
        <f>SUM(Z79:AA79)</f>
        <v>229</v>
      </c>
      <c r="AC79" s="192">
        <v>47</v>
      </c>
      <c r="AD79" s="192">
        <v>193</v>
      </c>
      <c r="AE79" s="192">
        <f>SUM(AC79:AD79)</f>
        <v>240</v>
      </c>
      <c r="AF79" s="59"/>
    </row>
    <row r="80" spans="2:33" ht="26.85" customHeight="1" x14ac:dyDescent="0.25">
      <c r="B80" s="193" t="s">
        <v>233</v>
      </c>
      <c r="C80" s="188"/>
      <c r="D80" s="180" t="s">
        <v>25</v>
      </c>
      <c r="E80" s="180"/>
      <c r="F80" s="750" t="s">
        <v>23</v>
      </c>
      <c r="G80" s="750" t="s">
        <v>23</v>
      </c>
      <c r="H80" s="750" t="s">
        <v>23</v>
      </c>
      <c r="I80" s="750" t="s">
        <v>23</v>
      </c>
      <c r="J80" s="721" t="s">
        <v>23</v>
      </c>
      <c r="K80" s="721" t="s">
        <v>23</v>
      </c>
      <c r="L80" s="721" t="s">
        <v>23</v>
      </c>
      <c r="M80" s="721" t="s">
        <v>23</v>
      </c>
      <c r="N80" s="372" t="s">
        <v>23</v>
      </c>
      <c r="O80" s="372" t="s">
        <v>23</v>
      </c>
      <c r="P80" s="372" t="s">
        <v>23</v>
      </c>
      <c r="Q80" s="372" t="s">
        <v>23</v>
      </c>
      <c r="R80" s="372" t="s">
        <v>23</v>
      </c>
      <c r="S80" s="372" t="s">
        <v>23</v>
      </c>
      <c r="T80" s="372" t="s">
        <v>23</v>
      </c>
      <c r="U80" s="372" t="s">
        <v>23</v>
      </c>
      <c r="V80" s="372" t="s">
        <v>23</v>
      </c>
      <c r="W80" s="372" t="s">
        <v>23</v>
      </c>
      <c r="X80" s="372" t="s">
        <v>23</v>
      </c>
      <c r="Y80" s="372" t="s">
        <v>23</v>
      </c>
      <c r="Z80" s="372" t="s">
        <v>23</v>
      </c>
      <c r="AA80" s="372" t="s">
        <v>23</v>
      </c>
      <c r="AB80" s="372" t="s">
        <v>23</v>
      </c>
      <c r="AC80" s="372" t="s">
        <v>23</v>
      </c>
      <c r="AD80" s="372" t="s">
        <v>23</v>
      </c>
      <c r="AE80" s="372" t="s">
        <v>23</v>
      </c>
      <c r="AF80" s="59"/>
    </row>
    <row r="81" spans="2:32" ht="26.85" customHeight="1" x14ac:dyDescent="0.25">
      <c r="B81" s="231" t="s">
        <v>102</v>
      </c>
      <c r="C81" s="180"/>
      <c r="D81" s="180" t="s">
        <v>25</v>
      </c>
      <c r="E81" s="180"/>
      <c r="F81" s="456">
        <f t="shared" ref="F81:I81" si="22">SUM(F75:F80)</f>
        <v>36</v>
      </c>
      <c r="G81" s="456">
        <f t="shared" si="22"/>
        <v>37</v>
      </c>
      <c r="H81" s="750" t="s">
        <v>23</v>
      </c>
      <c r="I81" s="456">
        <f t="shared" si="22"/>
        <v>73</v>
      </c>
      <c r="J81" s="699">
        <f t="shared" ref="J81:M81" si="23">SUM(J75:J80)</f>
        <v>33</v>
      </c>
      <c r="K81" s="699">
        <f t="shared" si="23"/>
        <v>39</v>
      </c>
      <c r="L81" s="699">
        <f t="shared" si="23"/>
        <v>0</v>
      </c>
      <c r="M81" s="699">
        <f t="shared" si="23"/>
        <v>72</v>
      </c>
      <c r="N81" s="373">
        <f>SUM(N75:N79)</f>
        <v>34</v>
      </c>
      <c r="O81" s="373">
        <f>SUM(O75:O79)</f>
        <v>46</v>
      </c>
      <c r="P81" s="373">
        <f t="shared" si="21"/>
        <v>80</v>
      </c>
      <c r="Q81" s="191">
        <v>60</v>
      </c>
      <c r="R81" s="191">
        <v>189</v>
      </c>
      <c r="S81" s="191">
        <v>249</v>
      </c>
      <c r="T81" s="374">
        <f t="shared" ref="T81:AD81" si="24">SUM(T75:T79)</f>
        <v>54</v>
      </c>
      <c r="U81" s="374">
        <f t="shared" si="24"/>
        <v>188</v>
      </c>
      <c r="V81" s="374">
        <f t="shared" si="24"/>
        <v>242</v>
      </c>
      <c r="W81" s="374">
        <f t="shared" si="24"/>
        <v>56</v>
      </c>
      <c r="X81" s="374">
        <f t="shared" si="24"/>
        <v>199</v>
      </c>
      <c r="Y81" s="374">
        <f t="shared" si="24"/>
        <v>255</v>
      </c>
      <c r="Z81" s="374">
        <f t="shared" si="24"/>
        <v>55</v>
      </c>
      <c r="AA81" s="374">
        <f t="shared" si="24"/>
        <v>226</v>
      </c>
      <c r="AB81" s="374">
        <f t="shared" si="24"/>
        <v>281</v>
      </c>
      <c r="AC81" s="192">
        <f t="shared" si="24"/>
        <v>55</v>
      </c>
      <c r="AD81" s="192">
        <f t="shared" si="24"/>
        <v>223</v>
      </c>
      <c r="AE81" s="192">
        <f>SUM(AC81:AD81)</f>
        <v>278</v>
      </c>
      <c r="AF81" s="59"/>
    </row>
    <row r="82" spans="2:32" ht="26.85" customHeight="1" x14ac:dyDescent="0.25">
      <c r="B82" s="193" t="s">
        <v>204</v>
      </c>
      <c r="C82" s="188"/>
      <c r="D82" s="180" t="s">
        <v>31</v>
      </c>
      <c r="E82" s="180"/>
      <c r="F82" s="752">
        <f>SUM(F75:F78)/SUM(I75:I78)</f>
        <v>0.36363636363636365</v>
      </c>
      <c r="G82" s="752">
        <f>SUM(G75:G78)/SUM(I75:I78)</f>
        <v>0.63636363636363635</v>
      </c>
      <c r="H82" s="750" t="s">
        <v>23</v>
      </c>
      <c r="I82" s="504">
        <f t="shared" ref="I82" si="25">SUM(F82:G82)</f>
        <v>1</v>
      </c>
      <c r="J82" s="708">
        <f>SUM(J75:J78)/SUM(M75:M78)</f>
        <v>0.29166666666666669</v>
      </c>
      <c r="K82" s="708">
        <f>SUM(K75:K78)/SUM(M75:M78)</f>
        <v>0.70833333333333337</v>
      </c>
      <c r="L82" s="721" t="s">
        <v>23</v>
      </c>
      <c r="M82" s="745">
        <f t="shared" ref="M82:M83" si="26">SUM(J82:K82)</f>
        <v>1</v>
      </c>
      <c r="N82" s="372" t="s">
        <v>23</v>
      </c>
      <c r="O82" s="372" t="s">
        <v>23</v>
      </c>
      <c r="P82" s="372" t="s">
        <v>23</v>
      </c>
      <c r="Q82" s="372" t="s">
        <v>23</v>
      </c>
      <c r="R82" s="372" t="s">
        <v>23</v>
      </c>
      <c r="S82" s="372" t="s">
        <v>23</v>
      </c>
      <c r="T82" s="372" t="s">
        <v>23</v>
      </c>
      <c r="U82" s="372" t="s">
        <v>23</v>
      </c>
      <c r="V82" s="372" t="s">
        <v>23</v>
      </c>
      <c r="W82" s="372" t="s">
        <v>23</v>
      </c>
      <c r="X82" s="372" t="s">
        <v>23</v>
      </c>
      <c r="Y82" s="372" t="s">
        <v>23</v>
      </c>
      <c r="Z82" s="372" t="s">
        <v>23</v>
      </c>
      <c r="AA82" s="372" t="s">
        <v>23</v>
      </c>
      <c r="AB82" s="372" t="s">
        <v>23</v>
      </c>
      <c r="AC82" s="372" t="s">
        <v>23</v>
      </c>
      <c r="AD82" s="372" t="s">
        <v>23</v>
      </c>
      <c r="AE82" s="372" t="s">
        <v>23</v>
      </c>
      <c r="AF82" s="59"/>
    </row>
    <row r="83" spans="2:32" ht="26.85" customHeight="1" x14ac:dyDescent="0.25">
      <c r="B83" s="193" t="s">
        <v>134</v>
      </c>
      <c r="C83" s="188"/>
      <c r="D83" s="180" t="s">
        <v>31</v>
      </c>
      <c r="E83" s="180"/>
      <c r="F83" s="750" t="s">
        <v>23</v>
      </c>
      <c r="G83" s="750" t="s">
        <v>23</v>
      </c>
      <c r="H83" s="750" t="s">
        <v>23</v>
      </c>
      <c r="I83" s="504">
        <v>0</v>
      </c>
      <c r="J83" s="721" t="s">
        <v>23</v>
      </c>
      <c r="K83" s="721" t="s">
        <v>23</v>
      </c>
      <c r="L83" s="721" t="s">
        <v>23</v>
      </c>
      <c r="M83" s="745">
        <f t="shared" si="26"/>
        <v>0</v>
      </c>
      <c r="N83" s="372" t="s">
        <v>23</v>
      </c>
      <c r="O83" s="372" t="s">
        <v>23</v>
      </c>
      <c r="P83" s="372" t="s">
        <v>23</v>
      </c>
      <c r="Q83" s="372" t="s">
        <v>23</v>
      </c>
      <c r="R83" s="372" t="s">
        <v>23</v>
      </c>
      <c r="S83" s="372" t="s">
        <v>23</v>
      </c>
      <c r="T83" s="372" t="s">
        <v>23</v>
      </c>
      <c r="U83" s="372" t="s">
        <v>23</v>
      </c>
      <c r="V83" s="372" t="s">
        <v>23</v>
      </c>
      <c r="W83" s="372" t="s">
        <v>23</v>
      </c>
      <c r="X83" s="372" t="s">
        <v>23</v>
      </c>
      <c r="Y83" s="372" t="s">
        <v>23</v>
      </c>
      <c r="Z83" s="372" t="s">
        <v>23</v>
      </c>
      <c r="AA83" s="372" t="s">
        <v>23</v>
      </c>
      <c r="AB83" s="372" t="s">
        <v>23</v>
      </c>
      <c r="AC83" s="372" t="s">
        <v>23</v>
      </c>
      <c r="AD83" s="372" t="s">
        <v>23</v>
      </c>
      <c r="AE83" s="372" t="s">
        <v>23</v>
      </c>
      <c r="AF83" s="59"/>
    </row>
    <row r="84" spans="2:32" ht="50.1" customHeight="1" x14ac:dyDescent="0.2">
      <c r="B84" s="180"/>
      <c r="C84" s="180"/>
      <c r="D84" s="180"/>
      <c r="E84" s="180"/>
      <c r="F84" s="262"/>
      <c r="G84" s="262"/>
      <c r="H84" s="262"/>
      <c r="I84" s="262"/>
      <c r="J84" s="653"/>
      <c r="K84" s="653"/>
      <c r="L84" s="653"/>
      <c r="M84" s="653"/>
      <c r="N84" s="225"/>
      <c r="O84" s="225"/>
      <c r="P84" s="225"/>
      <c r="Q84" s="185"/>
      <c r="R84" s="185"/>
      <c r="S84" s="185"/>
      <c r="T84" s="226"/>
      <c r="U84" s="226"/>
      <c r="V84" s="226"/>
      <c r="W84" s="226"/>
      <c r="X84" s="226"/>
      <c r="Y84" s="226"/>
      <c r="Z84" s="226"/>
      <c r="AA84" s="226"/>
      <c r="AB84" s="226"/>
      <c r="AC84" s="227"/>
      <c r="AD84" s="227"/>
      <c r="AE84" s="227"/>
      <c r="AF84" s="64"/>
    </row>
    <row r="85" spans="2:32" ht="26.85" customHeight="1" x14ac:dyDescent="0.2">
      <c r="B85" s="6" t="s">
        <v>136</v>
      </c>
      <c r="C85" s="6"/>
      <c r="D85" s="7" t="s">
        <v>9</v>
      </c>
      <c r="E85" s="7"/>
      <c r="F85" s="930" t="s">
        <v>10</v>
      </c>
      <c r="G85" s="930"/>
      <c r="H85" s="930"/>
      <c r="I85" s="930"/>
      <c r="J85" s="980" t="s">
        <v>11</v>
      </c>
      <c r="K85" s="980"/>
      <c r="L85" s="980"/>
      <c r="M85" s="980"/>
      <c r="N85" s="981" t="s">
        <v>12</v>
      </c>
      <c r="O85" s="981"/>
      <c r="P85" s="981"/>
      <c r="Q85" s="981" t="s">
        <v>13</v>
      </c>
      <c r="R85" s="981"/>
      <c r="S85" s="981"/>
      <c r="T85" s="981" t="s">
        <v>14</v>
      </c>
      <c r="U85" s="981"/>
      <c r="V85" s="981"/>
      <c r="W85" s="981" t="s">
        <v>15</v>
      </c>
      <c r="X85" s="981"/>
      <c r="Y85" s="981"/>
      <c r="Z85" s="981" t="s">
        <v>16</v>
      </c>
      <c r="AA85" s="981"/>
      <c r="AB85" s="981"/>
      <c r="AC85" s="981" t="s">
        <v>17</v>
      </c>
      <c r="AD85" s="981"/>
      <c r="AE85" s="981"/>
      <c r="AF85" s="64"/>
    </row>
    <row r="86" spans="2:32" ht="26.85" customHeight="1" x14ac:dyDescent="0.25">
      <c r="B86" s="198"/>
      <c r="C86" s="198"/>
      <c r="D86" s="180"/>
      <c r="E86" s="180"/>
      <c r="F86" s="182" t="s">
        <v>99</v>
      </c>
      <c r="G86" s="182" t="s">
        <v>100</v>
      </c>
      <c r="H86" s="532" t="s">
        <v>101</v>
      </c>
      <c r="I86" s="182" t="s">
        <v>102</v>
      </c>
      <c r="J86" s="452" t="s">
        <v>99</v>
      </c>
      <c r="K86" s="452" t="s">
        <v>100</v>
      </c>
      <c r="L86" s="690" t="s">
        <v>101</v>
      </c>
      <c r="M86" s="452" t="s">
        <v>102</v>
      </c>
      <c r="N86" s="183" t="s">
        <v>99</v>
      </c>
      <c r="O86" s="183" t="s">
        <v>100</v>
      </c>
      <c r="P86" s="183" t="s">
        <v>102</v>
      </c>
      <c r="Q86" s="183" t="s">
        <v>99</v>
      </c>
      <c r="R86" s="183" t="s">
        <v>100</v>
      </c>
      <c r="S86" s="183" t="s">
        <v>102</v>
      </c>
      <c r="T86" s="183" t="s">
        <v>99</v>
      </c>
      <c r="U86" s="183" t="s">
        <v>100</v>
      </c>
      <c r="V86" s="183" t="s">
        <v>102</v>
      </c>
      <c r="W86" s="183" t="s">
        <v>99</v>
      </c>
      <c r="X86" s="183" t="s">
        <v>100</v>
      </c>
      <c r="Y86" s="183" t="s">
        <v>102</v>
      </c>
      <c r="Z86" s="183" t="s">
        <v>99</v>
      </c>
      <c r="AA86" s="183" t="s">
        <v>100</v>
      </c>
      <c r="AB86" s="183" t="s">
        <v>102</v>
      </c>
      <c r="AC86" s="183" t="s">
        <v>99</v>
      </c>
      <c r="AD86" s="183" t="s">
        <v>100</v>
      </c>
      <c r="AE86" s="183" t="s">
        <v>102</v>
      </c>
      <c r="AF86" s="58"/>
    </row>
    <row r="87" spans="2:32" ht="26.85" customHeight="1" x14ac:dyDescent="0.25">
      <c r="B87" s="180" t="s">
        <v>137</v>
      </c>
      <c r="C87" s="180"/>
      <c r="D87" s="180" t="s">
        <v>25</v>
      </c>
      <c r="E87" s="180"/>
      <c r="F87" s="456">
        <v>5</v>
      </c>
      <c r="G87" s="456">
        <v>8</v>
      </c>
      <c r="H87" s="750" t="s">
        <v>23</v>
      </c>
      <c r="I87" s="456">
        <f t="shared" ref="I87:I88" si="27">SUM(F87:G87)</f>
        <v>13</v>
      </c>
      <c r="J87" s="743">
        <v>2</v>
      </c>
      <c r="K87" s="743">
        <v>3</v>
      </c>
      <c r="L87" s="721" t="s">
        <v>23</v>
      </c>
      <c r="M87" s="743">
        <f t="shared" ref="M87:M88" si="28">SUM(J87:K87)</f>
        <v>5</v>
      </c>
      <c r="N87" s="373">
        <v>14</v>
      </c>
      <c r="O87" s="373">
        <v>19</v>
      </c>
      <c r="P87" s="373">
        <f>SUM(N87:O87)</f>
        <v>33</v>
      </c>
      <c r="Q87" s="191">
        <v>10</v>
      </c>
      <c r="R87" s="191">
        <v>18</v>
      </c>
      <c r="S87" s="191">
        <v>28</v>
      </c>
      <c r="T87" s="374">
        <v>1</v>
      </c>
      <c r="U87" s="374">
        <v>5</v>
      </c>
      <c r="V87" s="374">
        <f>SUM(T87:U87)</f>
        <v>6</v>
      </c>
      <c r="W87" s="374">
        <v>10</v>
      </c>
      <c r="X87" s="374">
        <v>16</v>
      </c>
      <c r="Y87" s="374">
        <f>SUM(W87:X87)</f>
        <v>26</v>
      </c>
      <c r="Z87" s="374">
        <v>4</v>
      </c>
      <c r="AA87" s="374">
        <v>8</v>
      </c>
      <c r="AB87" s="374">
        <f>SUM(Z87:AA87)</f>
        <v>12</v>
      </c>
      <c r="AC87" s="374">
        <v>5</v>
      </c>
      <c r="AD87" s="374">
        <v>16</v>
      </c>
      <c r="AE87" s="374">
        <f>SUM(AC87:AD87)</f>
        <v>21</v>
      </c>
      <c r="AF87" s="65"/>
    </row>
    <row r="88" spans="2:32" ht="26.85" customHeight="1" x14ac:dyDescent="0.25">
      <c r="B88" s="193" t="s">
        <v>138</v>
      </c>
      <c r="C88" s="180"/>
      <c r="D88" s="180" t="s">
        <v>25</v>
      </c>
      <c r="E88" s="180"/>
      <c r="F88" s="456">
        <v>5</v>
      </c>
      <c r="G88" s="456">
        <v>3</v>
      </c>
      <c r="H88" s="459" t="s">
        <v>23</v>
      </c>
      <c r="I88" s="456">
        <f t="shared" si="27"/>
        <v>8</v>
      </c>
      <c r="J88" s="743">
        <v>8</v>
      </c>
      <c r="K88" s="743">
        <v>9</v>
      </c>
      <c r="L88" s="721" t="s">
        <v>23</v>
      </c>
      <c r="M88" s="743">
        <f t="shared" si="28"/>
        <v>17</v>
      </c>
      <c r="N88" s="373">
        <v>7</v>
      </c>
      <c r="O88" s="373">
        <v>8</v>
      </c>
      <c r="P88" s="373">
        <f>SUM(N88:O88)</f>
        <v>15</v>
      </c>
      <c r="Q88" s="191">
        <v>5</v>
      </c>
      <c r="R88" s="191">
        <v>17</v>
      </c>
      <c r="S88" s="191">
        <v>22</v>
      </c>
      <c r="T88" s="374">
        <v>4</v>
      </c>
      <c r="U88" s="374">
        <v>4</v>
      </c>
      <c r="V88" s="374">
        <f>SUM(T88:U88)</f>
        <v>8</v>
      </c>
      <c r="W88" s="374">
        <v>6</v>
      </c>
      <c r="X88" s="374">
        <v>38</v>
      </c>
      <c r="Y88" s="374">
        <f>SUM(W88:X88)</f>
        <v>44</v>
      </c>
      <c r="Z88" s="374">
        <v>1</v>
      </c>
      <c r="AA88" s="374">
        <v>16</v>
      </c>
      <c r="AB88" s="374">
        <f>SUM(Z88:AA88)</f>
        <v>17</v>
      </c>
      <c r="AC88" s="374">
        <v>8</v>
      </c>
      <c r="AD88" s="374">
        <v>26</v>
      </c>
      <c r="AE88" s="374">
        <f>SUM(AC88:AD88)</f>
        <v>34</v>
      </c>
      <c r="AF88" s="65"/>
    </row>
    <row r="89" spans="2:32" ht="26.85" customHeight="1" x14ac:dyDescent="0.25">
      <c r="B89" s="193" t="s">
        <v>234</v>
      </c>
      <c r="C89" s="188"/>
      <c r="D89" s="180" t="s">
        <v>25</v>
      </c>
      <c r="E89" s="180"/>
      <c r="F89" s="459" t="s">
        <v>23</v>
      </c>
      <c r="G89" s="459" t="s">
        <v>23</v>
      </c>
      <c r="H89" s="459" t="s">
        <v>23</v>
      </c>
      <c r="I89" s="459" t="s">
        <v>23</v>
      </c>
      <c r="J89" s="721" t="s">
        <v>23</v>
      </c>
      <c r="K89" s="721" t="s">
        <v>23</v>
      </c>
      <c r="L89" s="721" t="s">
        <v>23</v>
      </c>
      <c r="M89" s="721" t="s">
        <v>23</v>
      </c>
      <c r="N89" s="372" t="s">
        <v>23</v>
      </c>
      <c r="O89" s="372" t="s">
        <v>23</v>
      </c>
      <c r="P89" s="372" t="s">
        <v>23</v>
      </c>
      <c r="Q89" s="372" t="s">
        <v>23</v>
      </c>
      <c r="R89" s="372" t="s">
        <v>23</v>
      </c>
      <c r="S89" s="372" t="s">
        <v>23</v>
      </c>
      <c r="T89" s="372" t="s">
        <v>23</v>
      </c>
      <c r="U89" s="372" t="s">
        <v>23</v>
      </c>
      <c r="V89" s="372" t="s">
        <v>23</v>
      </c>
      <c r="W89" s="372" t="s">
        <v>23</v>
      </c>
      <c r="X89" s="372" t="s">
        <v>23</v>
      </c>
      <c r="Y89" s="372" t="s">
        <v>23</v>
      </c>
      <c r="Z89" s="372" t="s">
        <v>23</v>
      </c>
      <c r="AA89" s="372" t="s">
        <v>23</v>
      </c>
      <c r="AB89" s="372" t="s">
        <v>23</v>
      </c>
      <c r="AC89" s="372" t="s">
        <v>23</v>
      </c>
      <c r="AD89" s="372" t="s">
        <v>23</v>
      </c>
      <c r="AE89" s="372" t="s">
        <v>23</v>
      </c>
      <c r="AF89" s="65"/>
    </row>
    <row r="90" spans="2:32" ht="26.85" customHeight="1" x14ac:dyDescent="0.25">
      <c r="B90" s="231" t="s">
        <v>102</v>
      </c>
      <c r="C90" s="180"/>
      <c r="D90" s="180" t="s">
        <v>25</v>
      </c>
      <c r="E90" s="180"/>
      <c r="F90" s="456">
        <f t="shared" ref="F90:I90" si="29">SUM(F87:F89)</f>
        <v>10</v>
      </c>
      <c r="G90" s="456">
        <f t="shared" si="29"/>
        <v>11</v>
      </c>
      <c r="H90" s="459" t="s">
        <v>23</v>
      </c>
      <c r="I90" s="456">
        <f t="shared" si="29"/>
        <v>21</v>
      </c>
      <c r="J90" s="743">
        <f t="shared" ref="J90:M90" si="30">SUM(J87:J89)</f>
        <v>10</v>
      </c>
      <c r="K90" s="743">
        <f t="shared" si="30"/>
        <v>12</v>
      </c>
      <c r="L90" s="743">
        <f t="shared" si="30"/>
        <v>0</v>
      </c>
      <c r="M90" s="743">
        <f t="shared" si="30"/>
        <v>22</v>
      </c>
      <c r="N90" s="372" t="s">
        <v>23</v>
      </c>
      <c r="O90" s="372" t="s">
        <v>23</v>
      </c>
      <c r="P90" s="372" t="s">
        <v>23</v>
      </c>
      <c r="Q90" s="372" t="s">
        <v>23</v>
      </c>
      <c r="R90" s="372" t="s">
        <v>23</v>
      </c>
      <c r="S90" s="372" t="s">
        <v>23</v>
      </c>
      <c r="T90" s="372" t="s">
        <v>23</v>
      </c>
      <c r="U90" s="372" t="s">
        <v>23</v>
      </c>
      <c r="V90" s="372" t="s">
        <v>23</v>
      </c>
      <c r="W90" s="372" t="s">
        <v>23</v>
      </c>
      <c r="X90" s="372" t="s">
        <v>23</v>
      </c>
      <c r="Y90" s="372" t="s">
        <v>23</v>
      </c>
      <c r="Z90" s="372" t="s">
        <v>23</v>
      </c>
      <c r="AA90" s="372" t="s">
        <v>23</v>
      </c>
      <c r="AB90" s="372" t="s">
        <v>23</v>
      </c>
      <c r="AC90" s="372" t="s">
        <v>23</v>
      </c>
      <c r="AD90" s="372" t="s">
        <v>23</v>
      </c>
      <c r="AE90" s="372" t="s">
        <v>23</v>
      </c>
      <c r="AF90" s="65"/>
    </row>
    <row r="91" spans="2:32" ht="26.85" customHeight="1" x14ac:dyDescent="0.25">
      <c r="B91" s="231" t="s">
        <v>139</v>
      </c>
      <c r="C91" s="198"/>
      <c r="D91" s="198"/>
      <c r="E91" s="198"/>
      <c r="F91" s="456"/>
      <c r="G91" s="456"/>
      <c r="H91" s="456"/>
      <c r="I91" s="456"/>
      <c r="J91" s="743"/>
      <c r="K91" s="743"/>
      <c r="L91" s="743"/>
      <c r="M91" s="743"/>
      <c r="N91" s="372"/>
      <c r="O91" s="372"/>
      <c r="P91" s="372"/>
      <c r="Q91" s="372"/>
      <c r="R91" s="372"/>
      <c r="S91" s="372"/>
      <c r="T91" s="372"/>
      <c r="U91" s="372"/>
      <c r="V91" s="372"/>
      <c r="W91" s="372"/>
      <c r="X91" s="372"/>
      <c r="Y91" s="372"/>
      <c r="Z91" s="372"/>
      <c r="AA91" s="372"/>
      <c r="AB91" s="372"/>
      <c r="AC91" s="372"/>
      <c r="AD91" s="372"/>
      <c r="AE91" s="372"/>
      <c r="AF91" s="65"/>
    </row>
    <row r="92" spans="2:32" ht="26.85" customHeight="1" x14ac:dyDescent="0.25">
      <c r="B92" s="345" t="s">
        <v>108</v>
      </c>
      <c r="C92" s="344"/>
      <c r="D92" s="286" t="s">
        <v>25</v>
      </c>
      <c r="E92" s="286"/>
      <c r="F92" s="459" t="s">
        <v>23</v>
      </c>
      <c r="G92" s="459" t="s">
        <v>23</v>
      </c>
      <c r="H92" s="459" t="s">
        <v>23</v>
      </c>
      <c r="I92" s="456">
        <f t="shared" ref="I92:I97" si="31">SUM(F92:H92)</f>
        <v>0</v>
      </c>
      <c r="J92" s="721" t="s">
        <v>23</v>
      </c>
      <c r="K92" s="743">
        <v>1</v>
      </c>
      <c r="L92" s="721" t="s">
        <v>23</v>
      </c>
      <c r="M92" s="743">
        <f t="shared" ref="M92:M97" si="32">SUM(J92:L92)</f>
        <v>1</v>
      </c>
      <c r="N92" s="372" t="s">
        <v>23</v>
      </c>
      <c r="O92" s="372" t="s">
        <v>23</v>
      </c>
      <c r="P92" s="372" t="s">
        <v>23</v>
      </c>
      <c r="Q92" s="372" t="s">
        <v>23</v>
      </c>
      <c r="R92" s="372" t="s">
        <v>23</v>
      </c>
      <c r="S92" s="372" t="s">
        <v>23</v>
      </c>
      <c r="T92" s="372" t="s">
        <v>23</v>
      </c>
      <c r="U92" s="372" t="s">
        <v>23</v>
      </c>
      <c r="V92" s="372" t="s">
        <v>23</v>
      </c>
      <c r="W92" s="372" t="s">
        <v>23</v>
      </c>
      <c r="X92" s="372" t="s">
        <v>23</v>
      </c>
      <c r="Y92" s="372" t="s">
        <v>23</v>
      </c>
      <c r="Z92" s="372" t="s">
        <v>23</v>
      </c>
      <c r="AA92" s="372" t="s">
        <v>23</v>
      </c>
      <c r="AB92" s="372" t="s">
        <v>23</v>
      </c>
      <c r="AC92" s="372" t="s">
        <v>23</v>
      </c>
      <c r="AD92" s="372" t="s">
        <v>23</v>
      </c>
      <c r="AE92" s="372" t="s">
        <v>23</v>
      </c>
      <c r="AF92" s="65"/>
    </row>
    <row r="93" spans="2:32" ht="26.85" customHeight="1" x14ac:dyDescent="0.25">
      <c r="B93" s="345" t="s">
        <v>109</v>
      </c>
      <c r="C93" s="344"/>
      <c r="D93" s="286" t="s">
        <v>25</v>
      </c>
      <c r="E93" s="286"/>
      <c r="F93" s="456">
        <v>6</v>
      </c>
      <c r="G93" s="456">
        <v>7</v>
      </c>
      <c r="H93" s="459" t="s">
        <v>23</v>
      </c>
      <c r="I93" s="456">
        <f t="shared" si="31"/>
        <v>13</v>
      </c>
      <c r="J93" s="743">
        <v>5</v>
      </c>
      <c r="K93" s="743">
        <v>7</v>
      </c>
      <c r="L93" s="721" t="s">
        <v>23</v>
      </c>
      <c r="M93" s="743">
        <f t="shared" si="32"/>
        <v>12</v>
      </c>
      <c r="N93" s="372" t="s">
        <v>23</v>
      </c>
      <c r="O93" s="372" t="s">
        <v>23</v>
      </c>
      <c r="P93" s="372" t="s">
        <v>23</v>
      </c>
      <c r="Q93" s="372" t="s">
        <v>23</v>
      </c>
      <c r="R93" s="372" t="s">
        <v>23</v>
      </c>
      <c r="S93" s="372" t="s">
        <v>23</v>
      </c>
      <c r="T93" s="372" t="s">
        <v>23</v>
      </c>
      <c r="U93" s="372" t="s">
        <v>23</v>
      </c>
      <c r="V93" s="372" t="s">
        <v>23</v>
      </c>
      <c r="W93" s="372" t="s">
        <v>23</v>
      </c>
      <c r="X93" s="372" t="s">
        <v>23</v>
      </c>
      <c r="Y93" s="372" t="s">
        <v>23</v>
      </c>
      <c r="Z93" s="372" t="s">
        <v>23</v>
      </c>
      <c r="AA93" s="372" t="s">
        <v>23</v>
      </c>
      <c r="AB93" s="372" t="s">
        <v>23</v>
      </c>
      <c r="AC93" s="372" t="s">
        <v>23</v>
      </c>
      <c r="AD93" s="372" t="s">
        <v>23</v>
      </c>
      <c r="AE93" s="372" t="s">
        <v>23</v>
      </c>
      <c r="AF93" s="65"/>
    </row>
    <row r="94" spans="2:32" ht="26.85" customHeight="1" x14ac:dyDescent="0.25">
      <c r="B94" s="345" t="s">
        <v>110</v>
      </c>
      <c r="C94" s="344"/>
      <c r="D94" s="286" t="s">
        <v>25</v>
      </c>
      <c r="E94" s="286"/>
      <c r="F94" s="456">
        <v>2</v>
      </c>
      <c r="G94" s="456">
        <v>3</v>
      </c>
      <c r="H94" s="459" t="s">
        <v>23</v>
      </c>
      <c r="I94" s="456">
        <f t="shared" si="31"/>
        <v>5</v>
      </c>
      <c r="J94" s="743">
        <v>5</v>
      </c>
      <c r="K94" s="743">
        <v>4</v>
      </c>
      <c r="L94" s="721" t="s">
        <v>23</v>
      </c>
      <c r="M94" s="743">
        <f t="shared" si="32"/>
        <v>9</v>
      </c>
      <c r="N94" s="372" t="s">
        <v>23</v>
      </c>
      <c r="O94" s="372" t="s">
        <v>23</v>
      </c>
      <c r="P94" s="372" t="s">
        <v>23</v>
      </c>
      <c r="Q94" s="372" t="s">
        <v>23</v>
      </c>
      <c r="R94" s="372" t="s">
        <v>23</v>
      </c>
      <c r="S94" s="372" t="s">
        <v>23</v>
      </c>
      <c r="T94" s="372" t="s">
        <v>23</v>
      </c>
      <c r="U94" s="372" t="s">
        <v>23</v>
      </c>
      <c r="V94" s="372" t="s">
        <v>23</v>
      </c>
      <c r="W94" s="372" t="s">
        <v>23</v>
      </c>
      <c r="X94" s="372" t="s">
        <v>23</v>
      </c>
      <c r="Y94" s="372" t="s">
        <v>23</v>
      </c>
      <c r="Z94" s="372" t="s">
        <v>23</v>
      </c>
      <c r="AA94" s="372" t="s">
        <v>23</v>
      </c>
      <c r="AB94" s="372" t="s">
        <v>23</v>
      </c>
      <c r="AC94" s="372" t="s">
        <v>23</v>
      </c>
      <c r="AD94" s="372" t="s">
        <v>23</v>
      </c>
      <c r="AE94" s="372" t="s">
        <v>23</v>
      </c>
      <c r="AF94" s="65"/>
    </row>
    <row r="95" spans="2:32" ht="26.85" customHeight="1" x14ac:dyDescent="0.25">
      <c r="B95" s="345" t="s">
        <v>111</v>
      </c>
      <c r="C95" s="344"/>
      <c r="D95" s="286" t="s">
        <v>25</v>
      </c>
      <c r="E95" s="286"/>
      <c r="F95" s="503">
        <v>2</v>
      </c>
      <c r="G95" s="503">
        <v>1</v>
      </c>
      <c r="H95" s="459" t="s">
        <v>23</v>
      </c>
      <c r="I95" s="456">
        <f t="shared" si="31"/>
        <v>3</v>
      </c>
      <c r="J95" s="721" t="s">
        <v>23</v>
      </c>
      <c r="K95" s="721" t="s">
        <v>23</v>
      </c>
      <c r="L95" s="721" t="s">
        <v>23</v>
      </c>
      <c r="M95" s="743">
        <f t="shared" si="32"/>
        <v>0</v>
      </c>
      <c r="N95" s="372" t="s">
        <v>23</v>
      </c>
      <c r="O95" s="372" t="s">
        <v>23</v>
      </c>
      <c r="P95" s="372" t="s">
        <v>23</v>
      </c>
      <c r="Q95" s="372" t="s">
        <v>23</v>
      </c>
      <c r="R95" s="372" t="s">
        <v>23</v>
      </c>
      <c r="S95" s="372" t="s">
        <v>23</v>
      </c>
      <c r="T95" s="372" t="s">
        <v>23</v>
      </c>
      <c r="U95" s="372" t="s">
        <v>23</v>
      </c>
      <c r="V95" s="372" t="s">
        <v>23</v>
      </c>
      <c r="W95" s="372" t="s">
        <v>23</v>
      </c>
      <c r="X95" s="372" t="s">
        <v>23</v>
      </c>
      <c r="Y95" s="372" t="s">
        <v>23</v>
      </c>
      <c r="Z95" s="372" t="s">
        <v>23</v>
      </c>
      <c r="AA95" s="372" t="s">
        <v>23</v>
      </c>
      <c r="AB95" s="372" t="s">
        <v>23</v>
      </c>
      <c r="AC95" s="372" t="s">
        <v>23</v>
      </c>
      <c r="AD95" s="372" t="s">
        <v>23</v>
      </c>
      <c r="AE95" s="372" t="s">
        <v>23</v>
      </c>
      <c r="AF95" s="65"/>
    </row>
    <row r="96" spans="2:32" ht="26.85" customHeight="1" x14ac:dyDescent="0.25">
      <c r="B96" s="345" t="s">
        <v>112</v>
      </c>
      <c r="C96" s="344"/>
      <c r="D96" s="286" t="s">
        <v>25</v>
      </c>
      <c r="E96" s="286"/>
      <c r="F96" s="459" t="s">
        <v>23</v>
      </c>
      <c r="G96" s="459" t="s">
        <v>23</v>
      </c>
      <c r="H96" s="459" t="s">
        <v>23</v>
      </c>
      <c r="I96" s="456">
        <f t="shared" si="31"/>
        <v>0</v>
      </c>
      <c r="J96" s="721" t="s">
        <v>23</v>
      </c>
      <c r="K96" s="721" t="s">
        <v>23</v>
      </c>
      <c r="L96" s="721" t="s">
        <v>23</v>
      </c>
      <c r="M96" s="743">
        <f t="shared" si="32"/>
        <v>0</v>
      </c>
      <c r="N96" s="372" t="s">
        <v>23</v>
      </c>
      <c r="O96" s="372" t="s">
        <v>23</v>
      </c>
      <c r="P96" s="372" t="s">
        <v>23</v>
      </c>
      <c r="Q96" s="372" t="s">
        <v>23</v>
      </c>
      <c r="R96" s="372" t="s">
        <v>23</v>
      </c>
      <c r="S96" s="372" t="s">
        <v>23</v>
      </c>
      <c r="T96" s="372" t="s">
        <v>23</v>
      </c>
      <c r="U96" s="372" t="s">
        <v>23</v>
      </c>
      <c r="V96" s="372" t="s">
        <v>23</v>
      </c>
      <c r="W96" s="372" t="s">
        <v>23</v>
      </c>
      <c r="X96" s="372" t="s">
        <v>23</v>
      </c>
      <c r="Y96" s="372" t="s">
        <v>23</v>
      </c>
      <c r="Z96" s="372" t="s">
        <v>23</v>
      </c>
      <c r="AA96" s="372" t="s">
        <v>23</v>
      </c>
      <c r="AB96" s="372" t="s">
        <v>23</v>
      </c>
      <c r="AC96" s="372" t="s">
        <v>23</v>
      </c>
      <c r="AD96" s="372" t="s">
        <v>23</v>
      </c>
      <c r="AE96" s="372" t="s">
        <v>23</v>
      </c>
      <c r="AF96" s="65"/>
    </row>
    <row r="97" spans="2:32" ht="26.85" customHeight="1" x14ac:dyDescent="0.25">
      <c r="B97" s="345" t="s">
        <v>113</v>
      </c>
      <c r="C97" s="344"/>
      <c r="D97" s="180" t="s">
        <v>25</v>
      </c>
      <c r="E97" s="180"/>
      <c r="F97" s="459" t="s">
        <v>23</v>
      </c>
      <c r="G97" s="459" t="s">
        <v>23</v>
      </c>
      <c r="H97" s="459" t="s">
        <v>23</v>
      </c>
      <c r="I97" s="456">
        <f t="shared" si="31"/>
        <v>0</v>
      </c>
      <c r="J97" s="721" t="s">
        <v>23</v>
      </c>
      <c r="K97" s="721" t="s">
        <v>23</v>
      </c>
      <c r="L97" s="721" t="s">
        <v>23</v>
      </c>
      <c r="M97" s="743">
        <f t="shared" si="32"/>
        <v>0</v>
      </c>
      <c r="N97" s="372" t="s">
        <v>23</v>
      </c>
      <c r="O97" s="372" t="s">
        <v>23</v>
      </c>
      <c r="P97" s="372" t="s">
        <v>23</v>
      </c>
      <c r="Q97" s="372" t="s">
        <v>23</v>
      </c>
      <c r="R97" s="372" t="s">
        <v>23</v>
      </c>
      <c r="S97" s="372" t="s">
        <v>23</v>
      </c>
      <c r="T97" s="372" t="s">
        <v>23</v>
      </c>
      <c r="U97" s="372" t="s">
        <v>23</v>
      </c>
      <c r="V97" s="372" t="s">
        <v>23</v>
      </c>
      <c r="W97" s="372" t="s">
        <v>23</v>
      </c>
      <c r="X97" s="372" t="s">
        <v>23</v>
      </c>
      <c r="Y97" s="372" t="s">
        <v>23</v>
      </c>
      <c r="Z97" s="372" t="s">
        <v>23</v>
      </c>
      <c r="AA97" s="372" t="s">
        <v>23</v>
      </c>
      <c r="AB97" s="372" t="s">
        <v>23</v>
      </c>
      <c r="AC97" s="372" t="s">
        <v>23</v>
      </c>
      <c r="AD97" s="372" t="s">
        <v>23</v>
      </c>
      <c r="AE97" s="372" t="s">
        <v>23</v>
      </c>
      <c r="AF97" s="65"/>
    </row>
    <row r="98" spans="2:32" ht="26.85" customHeight="1" x14ac:dyDescent="0.25">
      <c r="B98" s="345" t="s">
        <v>102</v>
      </c>
      <c r="C98" s="347"/>
      <c r="D98" s="286" t="s">
        <v>25</v>
      </c>
      <c r="E98" s="286"/>
      <c r="F98" s="456">
        <f t="shared" ref="F98:I98" si="33">SUM(F92:F97)</f>
        <v>10</v>
      </c>
      <c r="G98" s="456">
        <f t="shared" si="33"/>
        <v>11</v>
      </c>
      <c r="H98" s="459" t="s">
        <v>23</v>
      </c>
      <c r="I98" s="456">
        <f t="shared" si="33"/>
        <v>21</v>
      </c>
      <c r="J98" s="743">
        <f t="shared" ref="J98:M98" si="34">SUM(J92:J97)</f>
        <v>10</v>
      </c>
      <c r="K98" s="743">
        <f t="shared" si="34"/>
        <v>12</v>
      </c>
      <c r="L98" s="743">
        <f t="shared" si="34"/>
        <v>0</v>
      </c>
      <c r="M98" s="743">
        <f t="shared" si="34"/>
        <v>22</v>
      </c>
      <c r="N98" s="372" t="s">
        <v>23</v>
      </c>
      <c r="O98" s="372" t="s">
        <v>23</v>
      </c>
      <c r="P98" s="372" t="s">
        <v>23</v>
      </c>
      <c r="Q98" s="372" t="s">
        <v>23</v>
      </c>
      <c r="R98" s="372" t="s">
        <v>23</v>
      </c>
      <c r="S98" s="372" t="s">
        <v>23</v>
      </c>
      <c r="T98" s="372" t="s">
        <v>23</v>
      </c>
      <c r="U98" s="372" t="s">
        <v>23</v>
      </c>
      <c r="V98" s="372" t="s">
        <v>23</v>
      </c>
      <c r="W98" s="372" t="s">
        <v>23</v>
      </c>
      <c r="X98" s="372" t="s">
        <v>23</v>
      </c>
      <c r="Y98" s="372" t="s">
        <v>23</v>
      </c>
      <c r="Z98" s="372" t="s">
        <v>23</v>
      </c>
      <c r="AA98" s="372" t="s">
        <v>23</v>
      </c>
      <c r="AB98" s="372" t="s">
        <v>23</v>
      </c>
      <c r="AC98" s="372" t="s">
        <v>23</v>
      </c>
      <c r="AD98" s="372" t="s">
        <v>23</v>
      </c>
      <c r="AE98" s="372" t="s">
        <v>23</v>
      </c>
      <c r="AF98" s="65"/>
    </row>
    <row r="99" spans="2:32" ht="26.85" customHeight="1" x14ac:dyDescent="0.25">
      <c r="B99" s="231" t="s">
        <v>140</v>
      </c>
      <c r="C99" s="198"/>
      <c r="D99" s="286"/>
      <c r="E99" s="286"/>
      <c r="F99" s="456"/>
      <c r="G99" s="456"/>
      <c r="H99" s="456"/>
      <c r="I99" s="456"/>
      <c r="J99" s="743"/>
      <c r="K99" s="743"/>
      <c r="L99" s="743"/>
      <c r="M99" s="743"/>
      <c r="N99" s="372"/>
      <c r="O99" s="372"/>
      <c r="P99" s="372"/>
      <c r="Q99" s="372"/>
      <c r="R99" s="372"/>
      <c r="S99" s="372"/>
      <c r="T99" s="372"/>
      <c r="U99" s="372"/>
      <c r="V99" s="372"/>
      <c r="W99" s="372"/>
      <c r="X99" s="372"/>
      <c r="Y99" s="372"/>
      <c r="Z99" s="372"/>
      <c r="AA99" s="372"/>
      <c r="AB99" s="372"/>
      <c r="AC99" s="372"/>
      <c r="AD99" s="372"/>
      <c r="AE99" s="372"/>
      <c r="AF99" s="65"/>
    </row>
    <row r="100" spans="2:32" ht="26.85" customHeight="1" x14ac:dyDescent="0.25">
      <c r="B100" s="345" t="s">
        <v>141</v>
      </c>
      <c r="C100" s="344"/>
      <c r="D100" s="286" t="s">
        <v>25</v>
      </c>
      <c r="E100" s="286"/>
      <c r="F100" s="459" t="s">
        <v>23</v>
      </c>
      <c r="G100" s="503">
        <v>1</v>
      </c>
      <c r="H100" s="459" t="s">
        <v>23</v>
      </c>
      <c r="I100" s="456">
        <f t="shared" ref="I100:I105" si="35">SUM(F100:H100)</f>
        <v>1</v>
      </c>
      <c r="J100" s="721" t="s">
        <v>23</v>
      </c>
      <c r="K100" s="721" t="s">
        <v>23</v>
      </c>
      <c r="L100" s="721" t="s">
        <v>23</v>
      </c>
      <c r="M100" s="743">
        <f t="shared" ref="M100:M105" si="36">SUM(J100:L100)</f>
        <v>0</v>
      </c>
      <c r="N100" s="372" t="s">
        <v>23</v>
      </c>
      <c r="O100" s="372" t="s">
        <v>23</v>
      </c>
      <c r="P100" s="372" t="s">
        <v>23</v>
      </c>
      <c r="Q100" s="372" t="s">
        <v>23</v>
      </c>
      <c r="R100" s="372" t="s">
        <v>23</v>
      </c>
      <c r="S100" s="372" t="s">
        <v>23</v>
      </c>
      <c r="T100" s="372" t="s">
        <v>23</v>
      </c>
      <c r="U100" s="372" t="s">
        <v>23</v>
      </c>
      <c r="V100" s="372" t="s">
        <v>23</v>
      </c>
      <c r="W100" s="372" t="s">
        <v>23</v>
      </c>
      <c r="X100" s="372" t="s">
        <v>23</v>
      </c>
      <c r="Y100" s="372" t="s">
        <v>23</v>
      </c>
      <c r="Z100" s="372" t="s">
        <v>23</v>
      </c>
      <c r="AA100" s="372" t="s">
        <v>23</v>
      </c>
      <c r="AB100" s="372" t="s">
        <v>23</v>
      </c>
      <c r="AC100" s="372" t="s">
        <v>23</v>
      </c>
      <c r="AD100" s="372" t="s">
        <v>23</v>
      </c>
      <c r="AE100" s="372" t="s">
        <v>23</v>
      </c>
      <c r="AF100" s="65"/>
    </row>
    <row r="101" spans="2:32" ht="26.85" customHeight="1" x14ac:dyDescent="0.25">
      <c r="B101" s="345" t="s">
        <v>142</v>
      </c>
      <c r="C101" s="344"/>
      <c r="D101" s="286" t="s">
        <v>25</v>
      </c>
      <c r="E101" s="286"/>
      <c r="F101" s="503">
        <v>4</v>
      </c>
      <c r="G101" s="456">
        <v>2</v>
      </c>
      <c r="H101" s="459" t="s">
        <v>23</v>
      </c>
      <c r="I101" s="456">
        <f t="shared" si="35"/>
        <v>6</v>
      </c>
      <c r="J101" s="721" t="s">
        <v>23</v>
      </c>
      <c r="K101" s="743">
        <v>1</v>
      </c>
      <c r="L101" s="721" t="s">
        <v>23</v>
      </c>
      <c r="M101" s="743">
        <f t="shared" si="36"/>
        <v>1</v>
      </c>
      <c r="N101" s="372" t="s">
        <v>23</v>
      </c>
      <c r="O101" s="372" t="s">
        <v>23</v>
      </c>
      <c r="P101" s="372" t="s">
        <v>23</v>
      </c>
      <c r="Q101" s="372" t="s">
        <v>23</v>
      </c>
      <c r="R101" s="372" t="s">
        <v>23</v>
      </c>
      <c r="S101" s="372" t="s">
        <v>23</v>
      </c>
      <c r="T101" s="372" t="s">
        <v>23</v>
      </c>
      <c r="U101" s="372" t="s">
        <v>23</v>
      </c>
      <c r="V101" s="372" t="s">
        <v>23</v>
      </c>
      <c r="W101" s="372" t="s">
        <v>23</v>
      </c>
      <c r="X101" s="372" t="s">
        <v>23</v>
      </c>
      <c r="Y101" s="372" t="s">
        <v>23</v>
      </c>
      <c r="Z101" s="372" t="s">
        <v>23</v>
      </c>
      <c r="AA101" s="372" t="s">
        <v>23</v>
      </c>
      <c r="AB101" s="372" t="s">
        <v>23</v>
      </c>
      <c r="AC101" s="372" t="s">
        <v>23</v>
      </c>
      <c r="AD101" s="372" t="s">
        <v>23</v>
      </c>
      <c r="AE101" s="372" t="s">
        <v>23</v>
      </c>
      <c r="AF101" s="65"/>
    </row>
    <row r="102" spans="2:32" ht="26.85" customHeight="1" x14ac:dyDescent="0.25">
      <c r="B102" s="345" t="s">
        <v>143</v>
      </c>
      <c r="C102" s="344"/>
      <c r="D102" s="286" t="s">
        <v>25</v>
      </c>
      <c r="E102" s="286"/>
      <c r="F102" s="456">
        <v>4</v>
      </c>
      <c r="G102" s="456">
        <v>4</v>
      </c>
      <c r="H102" s="459" t="s">
        <v>23</v>
      </c>
      <c r="I102" s="456">
        <f t="shared" si="35"/>
        <v>8</v>
      </c>
      <c r="J102" s="743">
        <v>6</v>
      </c>
      <c r="K102" s="743">
        <v>7</v>
      </c>
      <c r="L102" s="721" t="s">
        <v>23</v>
      </c>
      <c r="M102" s="743">
        <f t="shared" si="36"/>
        <v>13</v>
      </c>
      <c r="N102" s="372" t="s">
        <v>23</v>
      </c>
      <c r="O102" s="372" t="s">
        <v>23</v>
      </c>
      <c r="P102" s="372" t="s">
        <v>23</v>
      </c>
      <c r="Q102" s="372" t="s">
        <v>23</v>
      </c>
      <c r="R102" s="372" t="s">
        <v>23</v>
      </c>
      <c r="S102" s="372" t="s">
        <v>23</v>
      </c>
      <c r="T102" s="372" t="s">
        <v>23</v>
      </c>
      <c r="U102" s="372" t="s">
        <v>23</v>
      </c>
      <c r="V102" s="372" t="s">
        <v>23</v>
      </c>
      <c r="W102" s="372" t="s">
        <v>23</v>
      </c>
      <c r="X102" s="372" t="s">
        <v>23</v>
      </c>
      <c r="Y102" s="372" t="s">
        <v>23</v>
      </c>
      <c r="Z102" s="372" t="s">
        <v>23</v>
      </c>
      <c r="AA102" s="372" t="s">
        <v>23</v>
      </c>
      <c r="AB102" s="372" t="s">
        <v>23</v>
      </c>
      <c r="AC102" s="372" t="s">
        <v>23</v>
      </c>
      <c r="AD102" s="372" t="s">
        <v>23</v>
      </c>
      <c r="AE102" s="372" t="s">
        <v>23</v>
      </c>
      <c r="AF102" s="65"/>
    </row>
    <row r="103" spans="2:32" ht="26.85" customHeight="1" x14ac:dyDescent="0.25">
      <c r="B103" s="345" t="s">
        <v>144</v>
      </c>
      <c r="C103" s="344"/>
      <c r="D103" s="286" t="s">
        <v>25</v>
      </c>
      <c r="E103" s="286"/>
      <c r="F103" s="456">
        <v>1</v>
      </c>
      <c r="G103" s="456">
        <v>4</v>
      </c>
      <c r="H103" s="459" t="s">
        <v>23</v>
      </c>
      <c r="I103" s="456">
        <f t="shared" si="35"/>
        <v>5</v>
      </c>
      <c r="J103" s="743">
        <v>4</v>
      </c>
      <c r="K103" s="743">
        <v>3</v>
      </c>
      <c r="L103" s="721" t="s">
        <v>23</v>
      </c>
      <c r="M103" s="743">
        <f t="shared" si="36"/>
        <v>7</v>
      </c>
      <c r="N103" s="372" t="s">
        <v>23</v>
      </c>
      <c r="O103" s="372" t="s">
        <v>23</v>
      </c>
      <c r="P103" s="372" t="s">
        <v>23</v>
      </c>
      <c r="Q103" s="372" t="s">
        <v>23</v>
      </c>
      <c r="R103" s="372" t="s">
        <v>23</v>
      </c>
      <c r="S103" s="372" t="s">
        <v>23</v>
      </c>
      <c r="T103" s="372" t="s">
        <v>23</v>
      </c>
      <c r="U103" s="372" t="s">
        <v>23</v>
      </c>
      <c r="V103" s="372" t="s">
        <v>23</v>
      </c>
      <c r="W103" s="372" t="s">
        <v>23</v>
      </c>
      <c r="X103" s="372" t="s">
        <v>23</v>
      </c>
      <c r="Y103" s="372" t="s">
        <v>23</v>
      </c>
      <c r="Z103" s="372" t="s">
        <v>23</v>
      </c>
      <c r="AA103" s="372" t="s">
        <v>23</v>
      </c>
      <c r="AB103" s="372" t="s">
        <v>23</v>
      </c>
      <c r="AC103" s="372" t="s">
        <v>23</v>
      </c>
      <c r="AD103" s="372" t="s">
        <v>23</v>
      </c>
      <c r="AE103" s="372" t="s">
        <v>23</v>
      </c>
      <c r="AF103" s="65"/>
    </row>
    <row r="104" spans="2:32" ht="26.85" customHeight="1" x14ac:dyDescent="0.25">
      <c r="B104" s="345" t="s">
        <v>145</v>
      </c>
      <c r="C104" s="344"/>
      <c r="D104" s="286" t="s">
        <v>25</v>
      </c>
      <c r="E104" s="286"/>
      <c r="F104" s="459" t="s">
        <v>23</v>
      </c>
      <c r="G104" s="459" t="s">
        <v>23</v>
      </c>
      <c r="H104" s="459" t="s">
        <v>23</v>
      </c>
      <c r="I104" s="456">
        <f t="shared" si="35"/>
        <v>0</v>
      </c>
      <c r="J104" s="721" t="s">
        <v>23</v>
      </c>
      <c r="K104" s="743">
        <v>1</v>
      </c>
      <c r="L104" s="721" t="s">
        <v>23</v>
      </c>
      <c r="M104" s="743">
        <f t="shared" si="36"/>
        <v>1</v>
      </c>
      <c r="N104" s="372" t="s">
        <v>23</v>
      </c>
      <c r="O104" s="372" t="s">
        <v>23</v>
      </c>
      <c r="P104" s="372" t="s">
        <v>23</v>
      </c>
      <c r="Q104" s="372" t="s">
        <v>23</v>
      </c>
      <c r="R104" s="372" t="s">
        <v>23</v>
      </c>
      <c r="S104" s="372" t="s">
        <v>23</v>
      </c>
      <c r="T104" s="372" t="s">
        <v>23</v>
      </c>
      <c r="U104" s="372" t="s">
        <v>23</v>
      </c>
      <c r="V104" s="372" t="s">
        <v>23</v>
      </c>
      <c r="W104" s="372" t="s">
        <v>23</v>
      </c>
      <c r="X104" s="372" t="s">
        <v>23</v>
      </c>
      <c r="Y104" s="372" t="s">
        <v>23</v>
      </c>
      <c r="Z104" s="372" t="s">
        <v>23</v>
      </c>
      <c r="AA104" s="372" t="s">
        <v>23</v>
      </c>
      <c r="AB104" s="372" t="s">
        <v>23</v>
      </c>
      <c r="AC104" s="372" t="s">
        <v>23</v>
      </c>
      <c r="AD104" s="372" t="s">
        <v>23</v>
      </c>
      <c r="AE104" s="372" t="s">
        <v>23</v>
      </c>
      <c r="AF104" s="65"/>
    </row>
    <row r="105" spans="2:32" ht="26.85" customHeight="1" x14ac:dyDescent="0.25">
      <c r="B105" s="345" t="s">
        <v>146</v>
      </c>
      <c r="C105" s="344"/>
      <c r="D105" s="286" t="s">
        <v>25</v>
      </c>
      <c r="E105" s="286"/>
      <c r="F105" s="503">
        <v>1</v>
      </c>
      <c r="G105" s="459" t="s">
        <v>23</v>
      </c>
      <c r="H105" s="459" t="s">
        <v>23</v>
      </c>
      <c r="I105" s="456">
        <f t="shared" si="35"/>
        <v>1</v>
      </c>
      <c r="J105" s="721" t="s">
        <v>23</v>
      </c>
      <c r="K105" s="721" t="s">
        <v>23</v>
      </c>
      <c r="L105" s="721" t="s">
        <v>23</v>
      </c>
      <c r="M105" s="743">
        <f t="shared" si="36"/>
        <v>0</v>
      </c>
      <c r="N105" s="372" t="s">
        <v>23</v>
      </c>
      <c r="O105" s="372" t="s">
        <v>23</v>
      </c>
      <c r="P105" s="372" t="s">
        <v>23</v>
      </c>
      <c r="Q105" s="372" t="s">
        <v>23</v>
      </c>
      <c r="R105" s="372" t="s">
        <v>23</v>
      </c>
      <c r="S105" s="372" t="s">
        <v>23</v>
      </c>
      <c r="T105" s="372" t="s">
        <v>23</v>
      </c>
      <c r="U105" s="372" t="s">
        <v>23</v>
      </c>
      <c r="V105" s="372" t="s">
        <v>23</v>
      </c>
      <c r="W105" s="372" t="s">
        <v>23</v>
      </c>
      <c r="X105" s="372" t="s">
        <v>23</v>
      </c>
      <c r="Y105" s="372" t="s">
        <v>23</v>
      </c>
      <c r="Z105" s="372" t="s">
        <v>23</v>
      </c>
      <c r="AA105" s="372" t="s">
        <v>23</v>
      </c>
      <c r="AB105" s="372" t="s">
        <v>23</v>
      </c>
      <c r="AC105" s="372" t="s">
        <v>23</v>
      </c>
      <c r="AD105" s="372" t="s">
        <v>23</v>
      </c>
      <c r="AE105" s="372" t="s">
        <v>23</v>
      </c>
      <c r="AF105" s="65"/>
    </row>
    <row r="106" spans="2:32" ht="26.85" customHeight="1" x14ac:dyDescent="0.25">
      <c r="B106" s="345" t="s">
        <v>102</v>
      </c>
      <c r="C106" s="347"/>
      <c r="D106" s="286" t="s">
        <v>25</v>
      </c>
      <c r="E106" s="286"/>
      <c r="F106" s="456">
        <f t="shared" ref="F106:I106" si="37">SUM(F100:F105)</f>
        <v>10</v>
      </c>
      <c r="G106" s="456">
        <f t="shared" si="37"/>
        <v>11</v>
      </c>
      <c r="H106" s="459" t="s">
        <v>23</v>
      </c>
      <c r="I106" s="456">
        <f t="shared" si="37"/>
        <v>21</v>
      </c>
      <c r="J106" s="743">
        <f t="shared" ref="J106:M106" si="38">SUM(J100:J105)</f>
        <v>10</v>
      </c>
      <c r="K106" s="743">
        <f t="shared" si="38"/>
        <v>12</v>
      </c>
      <c r="L106" s="743">
        <f t="shared" si="38"/>
        <v>0</v>
      </c>
      <c r="M106" s="743">
        <f t="shared" si="38"/>
        <v>22</v>
      </c>
      <c r="N106" s="372" t="s">
        <v>23</v>
      </c>
      <c r="O106" s="372" t="s">
        <v>23</v>
      </c>
      <c r="P106" s="372" t="s">
        <v>23</v>
      </c>
      <c r="Q106" s="372" t="s">
        <v>23</v>
      </c>
      <c r="R106" s="372" t="s">
        <v>23</v>
      </c>
      <c r="S106" s="372" t="s">
        <v>23</v>
      </c>
      <c r="T106" s="372" t="s">
        <v>23</v>
      </c>
      <c r="U106" s="372" t="s">
        <v>23</v>
      </c>
      <c r="V106" s="372" t="s">
        <v>23</v>
      </c>
      <c r="W106" s="372" t="s">
        <v>23</v>
      </c>
      <c r="X106" s="372" t="s">
        <v>23</v>
      </c>
      <c r="Y106" s="372" t="s">
        <v>23</v>
      </c>
      <c r="Z106" s="372" t="s">
        <v>23</v>
      </c>
      <c r="AA106" s="372" t="s">
        <v>23</v>
      </c>
      <c r="AB106" s="372" t="s">
        <v>23</v>
      </c>
      <c r="AC106" s="372" t="s">
        <v>23</v>
      </c>
      <c r="AD106" s="372" t="s">
        <v>23</v>
      </c>
      <c r="AE106" s="372" t="s">
        <v>23</v>
      </c>
      <c r="AF106" s="65"/>
    </row>
    <row r="107" spans="2:32" ht="50.1" customHeight="1" x14ac:dyDescent="0.2">
      <c r="B107" s="180"/>
      <c r="C107" s="180"/>
      <c r="D107" s="180"/>
      <c r="E107" s="180"/>
      <c r="F107" s="269"/>
      <c r="G107" s="269"/>
      <c r="H107" s="269"/>
      <c r="I107" s="269"/>
      <c r="J107" s="736"/>
      <c r="K107" s="736"/>
      <c r="L107" s="736"/>
      <c r="M107" s="736"/>
      <c r="N107" s="203"/>
      <c r="O107" s="203"/>
      <c r="P107" s="203"/>
      <c r="Q107" s="185"/>
      <c r="R107" s="185"/>
      <c r="S107" s="185"/>
      <c r="T107" s="204"/>
      <c r="U107" s="204"/>
      <c r="V107" s="204"/>
      <c r="W107" s="204"/>
      <c r="X107" s="204"/>
      <c r="Y107" s="204"/>
      <c r="Z107" s="204"/>
      <c r="AA107" s="204"/>
      <c r="AB107" s="204"/>
      <c r="AC107" s="204"/>
      <c r="AD107" s="204"/>
      <c r="AE107" s="204"/>
      <c r="AF107" s="65"/>
    </row>
    <row r="108" spans="2:32" ht="26.85" customHeight="1" x14ac:dyDescent="0.2">
      <c r="B108" s="6" t="s">
        <v>147</v>
      </c>
      <c r="C108" s="6"/>
      <c r="D108" s="7" t="s">
        <v>9</v>
      </c>
      <c r="E108" s="7"/>
      <c r="F108" s="930" t="s">
        <v>10</v>
      </c>
      <c r="G108" s="930"/>
      <c r="H108" s="930"/>
      <c r="I108" s="930"/>
      <c r="J108" s="980" t="s">
        <v>11</v>
      </c>
      <c r="K108" s="980"/>
      <c r="L108" s="980"/>
      <c r="M108" s="980"/>
      <c r="N108" s="981" t="s">
        <v>12</v>
      </c>
      <c r="O108" s="981"/>
      <c r="P108" s="981"/>
      <c r="Q108" s="981" t="s">
        <v>13</v>
      </c>
      <c r="R108" s="981"/>
      <c r="S108" s="981"/>
      <c r="T108" s="981" t="s">
        <v>14</v>
      </c>
      <c r="U108" s="981"/>
      <c r="V108" s="981"/>
      <c r="W108" s="981" t="s">
        <v>15</v>
      </c>
      <c r="X108" s="981"/>
      <c r="Y108" s="981"/>
      <c r="Z108" s="981" t="s">
        <v>16</v>
      </c>
      <c r="AA108" s="981"/>
      <c r="AB108" s="981"/>
      <c r="AC108" s="981" t="s">
        <v>17</v>
      </c>
      <c r="AD108" s="981"/>
      <c r="AE108" s="981"/>
      <c r="AF108" s="65"/>
    </row>
    <row r="109" spans="2:32" ht="26.85" customHeight="1" x14ac:dyDescent="0.25">
      <c r="B109" s="231" t="s">
        <v>139</v>
      </c>
      <c r="C109" s="198"/>
      <c r="D109" s="198"/>
      <c r="E109" s="198"/>
      <c r="F109" s="182" t="s">
        <v>99</v>
      </c>
      <c r="G109" s="182" t="s">
        <v>100</v>
      </c>
      <c r="H109" s="532" t="s">
        <v>101</v>
      </c>
      <c r="I109" s="182" t="s">
        <v>102</v>
      </c>
      <c r="J109" s="452" t="s">
        <v>99</v>
      </c>
      <c r="K109" s="452" t="s">
        <v>100</v>
      </c>
      <c r="L109" s="690" t="s">
        <v>101</v>
      </c>
      <c r="M109" s="452" t="s">
        <v>102</v>
      </c>
      <c r="N109" s="956"/>
      <c r="O109" s="956"/>
      <c r="P109" s="956"/>
      <c r="Q109" s="956"/>
      <c r="R109" s="956"/>
      <c r="S109" s="956"/>
      <c r="T109" s="956"/>
      <c r="U109" s="956"/>
      <c r="V109" s="956"/>
      <c r="W109" s="956"/>
      <c r="X109" s="956"/>
      <c r="Y109" s="956"/>
      <c r="Z109" s="956"/>
      <c r="AA109" s="956"/>
      <c r="AB109" s="956"/>
      <c r="AC109" s="956"/>
      <c r="AD109" s="956"/>
      <c r="AE109" s="956"/>
      <c r="AF109" s="65"/>
    </row>
    <row r="110" spans="2:32" ht="26.85" customHeight="1" x14ac:dyDescent="0.25">
      <c r="B110" s="345" t="s">
        <v>108</v>
      </c>
      <c r="C110" s="344"/>
      <c r="D110" s="286" t="s">
        <v>25</v>
      </c>
      <c r="E110" s="286"/>
      <c r="F110" s="750" t="s">
        <v>23</v>
      </c>
      <c r="G110" s="750" t="s">
        <v>23</v>
      </c>
      <c r="H110" s="750" t="s">
        <v>23</v>
      </c>
      <c r="I110" s="456">
        <f>SUM(F110:G110)</f>
        <v>0</v>
      </c>
      <c r="J110" s="720" t="s">
        <v>23</v>
      </c>
      <c r="K110" s="721" t="s">
        <v>23</v>
      </c>
      <c r="L110" s="721" t="s">
        <v>23</v>
      </c>
      <c r="M110" s="699">
        <f>SUM(J110:K110)</f>
        <v>0</v>
      </c>
      <c r="N110" s="921" t="s">
        <v>23</v>
      </c>
      <c r="O110" s="921"/>
      <c r="P110" s="921"/>
      <c r="Q110" s="921" t="s">
        <v>23</v>
      </c>
      <c r="R110" s="921"/>
      <c r="S110" s="921"/>
      <c r="T110" s="921" t="s">
        <v>23</v>
      </c>
      <c r="U110" s="921"/>
      <c r="V110" s="921"/>
      <c r="W110" s="921" t="s">
        <v>23</v>
      </c>
      <c r="X110" s="921"/>
      <c r="Y110" s="921"/>
      <c r="Z110" s="921" t="s">
        <v>23</v>
      </c>
      <c r="AA110" s="921"/>
      <c r="AB110" s="921"/>
      <c r="AC110" s="921" t="s">
        <v>23</v>
      </c>
      <c r="AD110" s="921"/>
      <c r="AE110" s="921"/>
      <c r="AF110" s="65"/>
    </row>
    <row r="111" spans="2:32" ht="26.85" customHeight="1" x14ac:dyDescent="0.25">
      <c r="B111" s="345" t="s">
        <v>109</v>
      </c>
      <c r="C111" s="344"/>
      <c r="D111" s="286" t="s">
        <v>25</v>
      </c>
      <c r="E111" s="286"/>
      <c r="F111" s="750" t="s">
        <v>23</v>
      </c>
      <c r="G111" s="456">
        <v>1</v>
      </c>
      <c r="H111" s="750" t="s">
        <v>23</v>
      </c>
      <c r="I111" s="456">
        <f t="shared" ref="I111:I112" si="39">SUM(F111:G111)</f>
        <v>1</v>
      </c>
      <c r="J111" s="720" t="s">
        <v>23</v>
      </c>
      <c r="K111" s="699">
        <v>3</v>
      </c>
      <c r="L111" s="721" t="s">
        <v>23</v>
      </c>
      <c r="M111" s="699">
        <f t="shared" ref="M111:M112" si="40">SUM(J111:K111)</f>
        <v>3</v>
      </c>
      <c r="N111" s="921" t="s">
        <v>23</v>
      </c>
      <c r="O111" s="921"/>
      <c r="P111" s="921"/>
      <c r="Q111" s="921" t="s">
        <v>23</v>
      </c>
      <c r="R111" s="921"/>
      <c r="S111" s="921"/>
      <c r="T111" s="921" t="s">
        <v>23</v>
      </c>
      <c r="U111" s="921"/>
      <c r="V111" s="921"/>
      <c r="W111" s="921" t="s">
        <v>23</v>
      </c>
      <c r="X111" s="921"/>
      <c r="Y111" s="921"/>
      <c r="Z111" s="921" t="s">
        <v>23</v>
      </c>
      <c r="AA111" s="921"/>
      <c r="AB111" s="921"/>
      <c r="AC111" s="921" t="s">
        <v>23</v>
      </c>
      <c r="AD111" s="921"/>
      <c r="AE111" s="921"/>
      <c r="AF111" s="65"/>
    </row>
    <row r="112" spans="2:32" ht="26.85" customHeight="1" x14ac:dyDescent="0.25">
      <c r="B112" s="345" t="s">
        <v>110</v>
      </c>
      <c r="C112" s="344"/>
      <c r="D112" s="286" t="s">
        <v>25</v>
      </c>
      <c r="E112" s="286"/>
      <c r="F112" s="750" t="s">
        <v>23</v>
      </c>
      <c r="G112" s="750" t="s">
        <v>23</v>
      </c>
      <c r="H112" s="750" t="s">
        <v>23</v>
      </c>
      <c r="I112" s="456">
        <f t="shared" si="39"/>
        <v>0</v>
      </c>
      <c r="J112" s="720" t="s">
        <v>23</v>
      </c>
      <c r="K112" s="699">
        <v>3</v>
      </c>
      <c r="L112" s="721" t="s">
        <v>23</v>
      </c>
      <c r="M112" s="699">
        <f t="shared" si="40"/>
        <v>3</v>
      </c>
      <c r="N112" s="921" t="s">
        <v>23</v>
      </c>
      <c r="O112" s="921"/>
      <c r="P112" s="921"/>
      <c r="Q112" s="921" t="s">
        <v>23</v>
      </c>
      <c r="R112" s="921"/>
      <c r="S112" s="921"/>
      <c r="T112" s="921" t="s">
        <v>23</v>
      </c>
      <c r="U112" s="921"/>
      <c r="V112" s="921"/>
      <c r="W112" s="921" t="s">
        <v>23</v>
      </c>
      <c r="X112" s="921"/>
      <c r="Y112" s="921"/>
      <c r="Z112" s="921" t="s">
        <v>23</v>
      </c>
      <c r="AA112" s="921"/>
      <c r="AB112" s="921"/>
      <c r="AC112" s="921" t="s">
        <v>23</v>
      </c>
      <c r="AD112" s="921"/>
      <c r="AE112" s="921"/>
      <c r="AF112" s="65"/>
    </row>
    <row r="113" spans="2:32" ht="26.85" customHeight="1" x14ac:dyDescent="0.25">
      <c r="B113" s="345" t="s">
        <v>111</v>
      </c>
      <c r="C113" s="344"/>
      <c r="D113" s="286" t="s">
        <v>25</v>
      </c>
      <c r="E113" s="286"/>
      <c r="F113" s="750" t="s">
        <v>23</v>
      </c>
      <c r="G113" s="750" t="s">
        <v>23</v>
      </c>
      <c r="H113" s="750" t="s">
        <v>23</v>
      </c>
      <c r="I113" s="750" t="s">
        <v>23</v>
      </c>
      <c r="J113" s="720" t="s">
        <v>23</v>
      </c>
      <c r="K113" s="721" t="s">
        <v>23</v>
      </c>
      <c r="L113" s="721" t="s">
        <v>23</v>
      </c>
      <c r="M113" s="721" t="s">
        <v>23</v>
      </c>
      <c r="N113" s="921" t="s">
        <v>23</v>
      </c>
      <c r="O113" s="921"/>
      <c r="P113" s="921"/>
      <c r="Q113" s="921" t="s">
        <v>23</v>
      </c>
      <c r="R113" s="921"/>
      <c r="S113" s="921"/>
      <c r="T113" s="921" t="s">
        <v>23</v>
      </c>
      <c r="U113" s="921"/>
      <c r="V113" s="921"/>
      <c r="W113" s="921" t="s">
        <v>23</v>
      </c>
      <c r="X113" s="921"/>
      <c r="Y113" s="921"/>
      <c r="Z113" s="921" t="s">
        <v>23</v>
      </c>
      <c r="AA113" s="921"/>
      <c r="AB113" s="921"/>
      <c r="AC113" s="921" t="s">
        <v>23</v>
      </c>
      <c r="AD113" s="921"/>
      <c r="AE113" s="921"/>
      <c r="AF113" s="65"/>
    </row>
    <row r="114" spans="2:32" ht="26.85" customHeight="1" x14ac:dyDescent="0.25">
      <c r="B114" s="345" t="s">
        <v>112</v>
      </c>
      <c r="C114" s="344"/>
      <c r="D114" s="286" t="s">
        <v>25</v>
      </c>
      <c r="E114" s="286"/>
      <c r="F114" s="750" t="s">
        <v>23</v>
      </c>
      <c r="G114" s="750" t="s">
        <v>23</v>
      </c>
      <c r="H114" s="750" t="s">
        <v>23</v>
      </c>
      <c r="I114" s="750" t="s">
        <v>23</v>
      </c>
      <c r="J114" s="720" t="s">
        <v>23</v>
      </c>
      <c r="K114" s="721" t="s">
        <v>23</v>
      </c>
      <c r="L114" s="721" t="s">
        <v>23</v>
      </c>
      <c r="M114" s="721" t="s">
        <v>23</v>
      </c>
      <c r="N114" s="921" t="s">
        <v>23</v>
      </c>
      <c r="O114" s="921"/>
      <c r="P114" s="921"/>
      <c r="Q114" s="921" t="s">
        <v>23</v>
      </c>
      <c r="R114" s="921"/>
      <c r="S114" s="921"/>
      <c r="T114" s="921" t="s">
        <v>23</v>
      </c>
      <c r="U114" s="921"/>
      <c r="V114" s="921"/>
      <c r="W114" s="921" t="s">
        <v>23</v>
      </c>
      <c r="X114" s="921"/>
      <c r="Y114" s="921"/>
      <c r="Z114" s="921" t="s">
        <v>23</v>
      </c>
      <c r="AA114" s="921"/>
      <c r="AB114" s="921"/>
      <c r="AC114" s="921" t="s">
        <v>23</v>
      </c>
      <c r="AD114" s="921"/>
      <c r="AE114" s="921"/>
      <c r="AF114" s="65"/>
    </row>
    <row r="115" spans="2:32" ht="26.85" customHeight="1" x14ac:dyDescent="0.25">
      <c r="B115" s="345" t="s">
        <v>113</v>
      </c>
      <c r="C115" s="344"/>
      <c r="D115" s="180" t="s">
        <v>25</v>
      </c>
      <c r="E115" s="180"/>
      <c r="F115" s="750" t="s">
        <v>23</v>
      </c>
      <c r="G115" s="750" t="s">
        <v>23</v>
      </c>
      <c r="H115" s="750" t="s">
        <v>23</v>
      </c>
      <c r="I115" s="750" t="s">
        <v>23</v>
      </c>
      <c r="J115" s="720" t="s">
        <v>23</v>
      </c>
      <c r="K115" s="721" t="s">
        <v>23</v>
      </c>
      <c r="L115" s="721" t="s">
        <v>23</v>
      </c>
      <c r="M115" s="721" t="s">
        <v>23</v>
      </c>
      <c r="N115" s="921" t="s">
        <v>23</v>
      </c>
      <c r="O115" s="921"/>
      <c r="P115" s="921"/>
      <c r="Q115" s="921" t="s">
        <v>23</v>
      </c>
      <c r="R115" s="921"/>
      <c r="S115" s="921"/>
      <c r="T115" s="921" t="s">
        <v>23</v>
      </c>
      <c r="U115" s="921"/>
      <c r="V115" s="921"/>
      <c r="W115" s="921" t="s">
        <v>23</v>
      </c>
      <c r="X115" s="921"/>
      <c r="Y115" s="921"/>
      <c r="Z115" s="921" t="s">
        <v>23</v>
      </c>
      <c r="AA115" s="921"/>
      <c r="AB115" s="921"/>
      <c r="AC115" s="921" t="s">
        <v>23</v>
      </c>
      <c r="AD115" s="921"/>
      <c r="AE115" s="921"/>
      <c r="AF115" s="65"/>
    </row>
    <row r="116" spans="2:32" ht="26.85" customHeight="1" x14ac:dyDescent="0.25">
      <c r="B116" s="345" t="s">
        <v>102</v>
      </c>
      <c r="C116" s="347"/>
      <c r="D116" s="286" t="s">
        <v>25</v>
      </c>
      <c r="E116" s="286"/>
      <c r="F116" s="753">
        <f t="shared" ref="F116:I116" si="41">SUM(F110:F115)</f>
        <v>0</v>
      </c>
      <c r="G116" s="456">
        <f t="shared" si="41"/>
        <v>1</v>
      </c>
      <c r="H116" s="456">
        <f t="shared" si="41"/>
        <v>0</v>
      </c>
      <c r="I116" s="456">
        <f t="shared" si="41"/>
        <v>1</v>
      </c>
      <c r="J116" s="728">
        <f t="shared" ref="J116:M116" si="42">SUM(J110:J115)</f>
        <v>0</v>
      </c>
      <c r="K116" s="699">
        <f t="shared" si="42"/>
        <v>6</v>
      </c>
      <c r="L116" s="699">
        <f t="shared" si="42"/>
        <v>0</v>
      </c>
      <c r="M116" s="699">
        <f t="shared" si="42"/>
        <v>6</v>
      </c>
      <c r="N116" s="921" t="s">
        <v>23</v>
      </c>
      <c r="O116" s="921"/>
      <c r="P116" s="921"/>
      <c r="Q116" s="921" t="s">
        <v>23</v>
      </c>
      <c r="R116" s="921"/>
      <c r="S116" s="921"/>
      <c r="T116" s="921" t="s">
        <v>23</v>
      </c>
      <c r="U116" s="921"/>
      <c r="V116" s="921"/>
      <c r="W116" s="921" t="s">
        <v>23</v>
      </c>
      <c r="X116" s="921"/>
      <c r="Y116" s="921"/>
      <c r="Z116" s="921" t="s">
        <v>23</v>
      </c>
      <c r="AA116" s="921"/>
      <c r="AB116" s="921"/>
      <c r="AC116" s="921" t="s">
        <v>23</v>
      </c>
      <c r="AD116" s="921"/>
      <c r="AE116" s="921"/>
      <c r="AF116" s="65"/>
    </row>
    <row r="117" spans="2:32" ht="26.85" customHeight="1" x14ac:dyDescent="0.25">
      <c r="B117" s="231" t="s">
        <v>140</v>
      </c>
      <c r="C117" s="198"/>
      <c r="D117" s="286"/>
      <c r="E117" s="286"/>
      <c r="F117" s="754"/>
      <c r="G117" s="755"/>
      <c r="H117" s="755"/>
      <c r="I117" s="755"/>
      <c r="J117" s="442"/>
      <c r="K117" s="217"/>
      <c r="L117" s="217"/>
      <c r="M117" s="217"/>
      <c r="N117" s="921"/>
      <c r="O117" s="921"/>
      <c r="P117" s="921"/>
      <c r="Q117" s="921"/>
      <c r="R117" s="921"/>
      <c r="S117" s="921"/>
      <c r="T117" s="921"/>
      <c r="U117" s="921"/>
      <c r="V117" s="921"/>
      <c r="W117" s="921"/>
      <c r="X117" s="921"/>
      <c r="Y117" s="921"/>
      <c r="Z117" s="921"/>
      <c r="AA117" s="921"/>
      <c r="AB117" s="921"/>
      <c r="AC117" s="921"/>
      <c r="AD117" s="921"/>
      <c r="AE117" s="921"/>
      <c r="AF117" s="65"/>
    </row>
    <row r="118" spans="2:32" ht="26.85" customHeight="1" x14ac:dyDescent="0.25">
      <c r="B118" s="345" t="s">
        <v>141</v>
      </c>
      <c r="C118" s="344"/>
      <c r="D118" s="286" t="s">
        <v>25</v>
      </c>
      <c r="E118" s="286"/>
      <c r="F118" s="750" t="s">
        <v>23</v>
      </c>
      <c r="G118" s="750" t="s">
        <v>23</v>
      </c>
      <c r="H118" s="750" t="s">
        <v>23</v>
      </c>
      <c r="I118" s="456">
        <f>SUM(F118:G118)</f>
        <v>0</v>
      </c>
      <c r="J118" s="720" t="s">
        <v>23</v>
      </c>
      <c r="K118" s="721" t="s">
        <v>23</v>
      </c>
      <c r="L118" s="721" t="s">
        <v>23</v>
      </c>
      <c r="M118" s="699">
        <f>SUM(J118:K118)</f>
        <v>0</v>
      </c>
      <c r="N118" s="921" t="s">
        <v>23</v>
      </c>
      <c r="O118" s="921"/>
      <c r="P118" s="921"/>
      <c r="Q118" s="921" t="s">
        <v>23</v>
      </c>
      <c r="R118" s="921"/>
      <c r="S118" s="921"/>
      <c r="T118" s="921" t="s">
        <v>23</v>
      </c>
      <c r="U118" s="921"/>
      <c r="V118" s="921"/>
      <c r="W118" s="921" t="s">
        <v>23</v>
      </c>
      <c r="X118" s="921"/>
      <c r="Y118" s="921"/>
      <c r="Z118" s="921" t="s">
        <v>23</v>
      </c>
      <c r="AA118" s="921"/>
      <c r="AB118" s="921"/>
      <c r="AC118" s="921" t="s">
        <v>23</v>
      </c>
      <c r="AD118" s="921"/>
      <c r="AE118" s="921"/>
      <c r="AF118" s="65"/>
    </row>
    <row r="119" spans="2:32" ht="26.85" customHeight="1" x14ac:dyDescent="0.25">
      <c r="B119" s="345" t="s">
        <v>142</v>
      </c>
      <c r="C119" s="344"/>
      <c r="D119" s="286" t="s">
        <v>25</v>
      </c>
      <c r="E119" s="286"/>
      <c r="F119" s="750" t="s">
        <v>23</v>
      </c>
      <c r="G119" s="750" t="s">
        <v>23</v>
      </c>
      <c r="H119" s="750" t="s">
        <v>23</v>
      </c>
      <c r="I119" s="456">
        <f t="shared" ref="I119:I120" si="43">SUM(F119:G119)</f>
        <v>0</v>
      </c>
      <c r="J119" s="720" t="s">
        <v>23</v>
      </c>
      <c r="K119" s="721" t="s">
        <v>23</v>
      </c>
      <c r="L119" s="721" t="s">
        <v>23</v>
      </c>
      <c r="M119" s="699">
        <f t="shared" ref="M119:M123" si="44">SUM(J119:K119)</f>
        <v>0</v>
      </c>
      <c r="N119" s="921" t="s">
        <v>23</v>
      </c>
      <c r="O119" s="921"/>
      <c r="P119" s="921"/>
      <c r="Q119" s="921" t="s">
        <v>23</v>
      </c>
      <c r="R119" s="921"/>
      <c r="S119" s="921"/>
      <c r="T119" s="921" t="s">
        <v>23</v>
      </c>
      <c r="U119" s="921"/>
      <c r="V119" s="921"/>
      <c r="W119" s="921" t="s">
        <v>23</v>
      </c>
      <c r="X119" s="921"/>
      <c r="Y119" s="921"/>
      <c r="Z119" s="921" t="s">
        <v>23</v>
      </c>
      <c r="AA119" s="921"/>
      <c r="AB119" s="921"/>
      <c r="AC119" s="921" t="s">
        <v>23</v>
      </c>
      <c r="AD119" s="921"/>
      <c r="AE119" s="921"/>
      <c r="AF119" s="65"/>
    </row>
    <row r="120" spans="2:32" ht="26.85" customHeight="1" x14ac:dyDescent="0.25">
      <c r="B120" s="345" t="s">
        <v>143</v>
      </c>
      <c r="C120" s="344"/>
      <c r="D120" s="286" t="s">
        <v>25</v>
      </c>
      <c r="E120" s="286"/>
      <c r="F120" s="750" t="s">
        <v>23</v>
      </c>
      <c r="G120" s="456">
        <v>1</v>
      </c>
      <c r="H120" s="750" t="s">
        <v>23</v>
      </c>
      <c r="I120" s="456">
        <f t="shared" si="43"/>
        <v>1</v>
      </c>
      <c r="J120" s="720" t="s">
        <v>23</v>
      </c>
      <c r="K120" s="699">
        <v>3</v>
      </c>
      <c r="L120" s="721" t="s">
        <v>23</v>
      </c>
      <c r="M120" s="699">
        <f t="shared" si="44"/>
        <v>3</v>
      </c>
      <c r="N120" s="921" t="s">
        <v>23</v>
      </c>
      <c r="O120" s="921"/>
      <c r="P120" s="921"/>
      <c r="Q120" s="921" t="s">
        <v>23</v>
      </c>
      <c r="R120" s="921"/>
      <c r="S120" s="921"/>
      <c r="T120" s="921" t="s">
        <v>23</v>
      </c>
      <c r="U120" s="921"/>
      <c r="V120" s="921"/>
      <c r="W120" s="921" t="s">
        <v>23</v>
      </c>
      <c r="X120" s="921"/>
      <c r="Y120" s="921"/>
      <c r="Z120" s="921" t="s">
        <v>23</v>
      </c>
      <c r="AA120" s="921"/>
      <c r="AB120" s="921"/>
      <c r="AC120" s="921" t="s">
        <v>23</v>
      </c>
      <c r="AD120" s="921"/>
      <c r="AE120" s="921"/>
      <c r="AF120" s="65"/>
    </row>
    <row r="121" spans="2:32" ht="26.85" customHeight="1" x14ac:dyDescent="0.25">
      <c r="B121" s="345" t="s">
        <v>144</v>
      </c>
      <c r="C121" s="344"/>
      <c r="D121" s="286" t="s">
        <v>25</v>
      </c>
      <c r="E121" s="286"/>
      <c r="F121" s="750" t="s">
        <v>23</v>
      </c>
      <c r="G121" s="750" t="s">
        <v>23</v>
      </c>
      <c r="H121" s="750" t="s">
        <v>23</v>
      </c>
      <c r="I121" s="456" t="s">
        <v>23</v>
      </c>
      <c r="J121" s="720" t="s">
        <v>23</v>
      </c>
      <c r="K121" s="699">
        <v>1</v>
      </c>
      <c r="L121" s="721" t="s">
        <v>23</v>
      </c>
      <c r="M121" s="699">
        <f t="shared" si="44"/>
        <v>1</v>
      </c>
      <c r="N121" s="921" t="s">
        <v>23</v>
      </c>
      <c r="O121" s="921"/>
      <c r="P121" s="921"/>
      <c r="Q121" s="921" t="s">
        <v>23</v>
      </c>
      <c r="R121" s="921"/>
      <c r="S121" s="921"/>
      <c r="T121" s="921" t="s">
        <v>23</v>
      </c>
      <c r="U121" s="921"/>
      <c r="V121" s="921"/>
      <c r="W121" s="921" t="s">
        <v>23</v>
      </c>
      <c r="X121" s="921"/>
      <c r="Y121" s="921"/>
      <c r="Z121" s="921" t="s">
        <v>23</v>
      </c>
      <c r="AA121" s="921"/>
      <c r="AB121" s="921"/>
      <c r="AC121" s="921" t="s">
        <v>23</v>
      </c>
      <c r="AD121" s="921"/>
      <c r="AE121" s="921"/>
      <c r="AF121" s="65"/>
    </row>
    <row r="122" spans="2:32" ht="26.85" customHeight="1" x14ac:dyDescent="0.25">
      <c r="B122" s="345" t="s">
        <v>145</v>
      </c>
      <c r="C122" s="344"/>
      <c r="D122" s="286" t="s">
        <v>25</v>
      </c>
      <c r="E122" s="286"/>
      <c r="F122" s="750" t="s">
        <v>23</v>
      </c>
      <c r="G122" s="750" t="s">
        <v>23</v>
      </c>
      <c r="H122" s="750" t="s">
        <v>23</v>
      </c>
      <c r="I122" s="456" t="s">
        <v>23</v>
      </c>
      <c r="J122" s="720" t="s">
        <v>23</v>
      </c>
      <c r="K122" s="699">
        <v>2</v>
      </c>
      <c r="L122" s="721" t="s">
        <v>23</v>
      </c>
      <c r="M122" s="699">
        <f t="shared" si="44"/>
        <v>2</v>
      </c>
      <c r="N122" s="921" t="s">
        <v>23</v>
      </c>
      <c r="O122" s="921"/>
      <c r="P122" s="921"/>
      <c r="Q122" s="921" t="s">
        <v>23</v>
      </c>
      <c r="R122" s="921"/>
      <c r="S122" s="921"/>
      <c r="T122" s="921" t="s">
        <v>23</v>
      </c>
      <c r="U122" s="921"/>
      <c r="V122" s="921"/>
      <c r="W122" s="921" t="s">
        <v>23</v>
      </c>
      <c r="X122" s="921"/>
      <c r="Y122" s="921"/>
      <c r="Z122" s="921" t="s">
        <v>23</v>
      </c>
      <c r="AA122" s="921"/>
      <c r="AB122" s="921"/>
      <c r="AC122" s="921" t="s">
        <v>23</v>
      </c>
      <c r="AD122" s="921"/>
      <c r="AE122" s="921"/>
      <c r="AF122" s="65"/>
    </row>
    <row r="123" spans="2:32" ht="26.85" customHeight="1" x14ac:dyDescent="0.25">
      <c r="B123" s="345" t="s">
        <v>146</v>
      </c>
      <c r="C123" s="344"/>
      <c r="D123" s="286" t="s">
        <v>25</v>
      </c>
      <c r="E123" s="286"/>
      <c r="F123" s="750" t="s">
        <v>23</v>
      </c>
      <c r="G123" s="750" t="s">
        <v>23</v>
      </c>
      <c r="H123" s="750" t="s">
        <v>23</v>
      </c>
      <c r="I123" s="456" t="s">
        <v>23</v>
      </c>
      <c r="J123" s="720" t="s">
        <v>23</v>
      </c>
      <c r="K123" s="721" t="s">
        <v>23</v>
      </c>
      <c r="L123" s="721" t="s">
        <v>23</v>
      </c>
      <c r="M123" s="699">
        <f t="shared" si="44"/>
        <v>0</v>
      </c>
      <c r="N123" s="921" t="s">
        <v>23</v>
      </c>
      <c r="O123" s="921"/>
      <c r="P123" s="921"/>
      <c r="Q123" s="921" t="s">
        <v>23</v>
      </c>
      <c r="R123" s="921"/>
      <c r="S123" s="921"/>
      <c r="T123" s="921" t="s">
        <v>23</v>
      </c>
      <c r="U123" s="921"/>
      <c r="V123" s="921"/>
      <c r="W123" s="921" t="s">
        <v>23</v>
      </c>
      <c r="X123" s="921"/>
      <c r="Y123" s="921"/>
      <c r="Z123" s="921" t="s">
        <v>23</v>
      </c>
      <c r="AA123" s="921"/>
      <c r="AB123" s="921"/>
      <c r="AC123" s="921" t="s">
        <v>23</v>
      </c>
      <c r="AD123" s="921"/>
      <c r="AE123" s="921"/>
      <c r="AF123" s="65"/>
    </row>
    <row r="124" spans="2:32" ht="26.85" customHeight="1" x14ac:dyDescent="0.25">
      <c r="B124" s="345" t="s">
        <v>102</v>
      </c>
      <c r="C124" s="347"/>
      <c r="D124" s="286" t="s">
        <v>25</v>
      </c>
      <c r="E124" s="286"/>
      <c r="F124" s="753">
        <f t="shared" ref="F124:I124" si="45">SUM(F118:F123)</f>
        <v>0</v>
      </c>
      <c r="G124" s="456">
        <f t="shared" si="45"/>
        <v>1</v>
      </c>
      <c r="H124" s="456">
        <f t="shared" si="45"/>
        <v>0</v>
      </c>
      <c r="I124" s="456">
        <f t="shared" si="45"/>
        <v>1</v>
      </c>
      <c r="J124" s="728">
        <f t="shared" ref="J124:M124" si="46">SUM(J118:J123)</f>
        <v>0</v>
      </c>
      <c r="K124" s="699">
        <f t="shared" si="46"/>
        <v>6</v>
      </c>
      <c r="L124" s="699">
        <f t="shared" si="46"/>
        <v>0</v>
      </c>
      <c r="M124" s="699">
        <f t="shared" si="46"/>
        <v>6</v>
      </c>
      <c r="N124" s="921">
        <v>0</v>
      </c>
      <c r="O124" s="921"/>
      <c r="P124" s="921"/>
      <c r="Q124" s="921">
        <v>6</v>
      </c>
      <c r="R124" s="921"/>
      <c r="S124" s="921"/>
      <c r="T124" s="921">
        <v>10</v>
      </c>
      <c r="U124" s="921"/>
      <c r="V124" s="921"/>
      <c r="W124" s="921">
        <v>56</v>
      </c>
      <c r="X124" s="921"/>
      <c r="Y124" s="921"/>
      <c r="Z124" s="921">
        <v>2</v>
      </c>
      <c r="AA124" s="921"/>
      <c r="AB124" s="921"/>
      <c r="AC124" s="921">
        <v>7</v>
      </c>
      <c r="AD124" s="921"/>
      <c r="AE124" s="921"/>
      <c r="AF124" s="65"/>
    </row>
    <row r="125" spans="2:32" ht="50.1" customHeight="1" x14ac:dyDescent="0.2">
      <c r="B125" s="180"/>
      <c r="C125" s="180"/>
      <c r="D125" s="180"/>
      <c r="E125" s="180"/>
      <c r="F125" s="269"/>
      <c r="G125" s="269"/>
      <c r="H125" s="269"/>
      <c r="I125" s="269"/>
      <c r="J125" s="736"/>
      <c r="K125" s="736"/>
      <c r="L125" s="736"/>
      <c r="M125" s="736"/>
      <c r="N125" s="203"/>
      <c r="O125" s="203"/>
      <c r="P125" s="203"/>
      <c r="Q125" s="185"/>
      <c r="R125" s="185"/>
      <c r="S125" s="185"/>
      <c r="T125" s="204"/>
      <c r="U125" s="204"/>
      <c r="V125" s="204"/>
      <c r="W125" s="204"/>
      <c r="X125" s="204"/>
      <c r="Y125" s="204"/>
      <c r="Z125" s="204"/>
      <c r="AA125" s="204"/>
      <c r="AB125" s="204"/>
      <c r="AC125" s="204"/>
      <c r="AD125" s="204"/>
      <c r="AE125" s="204"/>
      <c r="AF125" s="65"/>
    </row>
    <row r="126" spans="2:32" ht="26.85" customHeight="1" x14ac:dyDescent="0.35">
      <c r="B126" s="6" t="s">
        <v>205</v>
      </c>
      <c r="C126" s="305"/>
      <c r="D126" s="7" t="s">
        <v>9</v>
      </c>
      <c r="E126" s="7"/>
      <c r="F126" s="930" t="s">
        <v>10</v>
      </c>
      <c r="G126" s="930"/>
      <c r="H126" s="930"/>
      <c r="I126" s="930"/>
      <c r="J126" s="980" t="s">
        <v>11</v>
      </c>
      <c r="K126" s="980"/>
      <c r="L126" s="980"/>
      <c r="M126" s="980"/>
      <c r="N126" s="981" t="s">
        <v>12</v>
      </c>
      <c r="O126" s="981"/>
      <c r="P126" s="981"/>
      <c r="Q126" s="981" t="s">
        <v>13</v>
      </c>
      <c r="R126" s="981"/>
      <c r="S126" s="981"/>
      <c r="T126" s="981" t="s">
        <v>14</v>
      </c>
      <c r="U126" s="981"/>
      <c r="V126" s="981"/>
      <c r="W126" s="981" t="s">
        <v>15</v>
      </c>
      <c r="X126" s="981"/>
      <c r="Y126" s="981"/>
      <c r="Z126" s="981" t="s">
        <v>16</v>
      </c>
      <c r="AA126" s="981"/>
      <c r="AB126" s="981"/>
      <c r="AC126" s="981" t="s">
        <v>17</v>
      </c>
      <c r="AD126" s="981"/>
      <c r="AE126" s="981"/>
      <c r="AF126" s="65"/>
    </row>
    <row r="127" spans="2:32" ht="26.85" customHeight="1" x14ac:dyDescent="0.25">
      <c r="B127" s="198" t="s">
        <v>139</v>
      </c>
      <c r="C127" s="198"/>
      <c r="D127" s="198"/>
      <c r="E127" s="198"/>
      <c r="F127" s="182" t="s">
        <v>99</v>
      </c>
      <c r="G127" s="182" t="s">
        <v>100</v>
      </c>
      <c r="H127" s="532" t="s">
        <v>101</v>
      </c>
      <c r="I127" s="182" t="s">
        <v>102</v>
      </c>
      <c r="J127" s="452" t="s">
        <v>99</v>
      </c>
      <c r="K127" s="452" t="s">
        <v>100</v>
      </c>
      <c r="L127" s="690" t="s">
        <v>101</v>
      </c>
      <c r="M127" s="452" t="s">
        <v>102</v>
      </c>
      <c r="N127" s="956"/>
      <c r="O127" s="956"/>
      <c r="P127" s="956"/>
      <c r="Q127" s="956"/>
      <c r="R127" s="956"/>
      <c r="S127" s="956"/>
      <c r="T127" s="956"/>
      <c r="U127" s="956"/>
      <c r="V127" s="956"/>
      <c r="W127" s="956"/>
      <c r="X127" s="956"/>
      <c r="Y127" s="956"/>
      <c r="Z127" s="956"/>
      <c r="AA127" s="956"/>
      <c r="AB127" s="956"/>
      <c r="AC127" s="956"/>
      <c r="AD127" s="956"/>
      <c r="AE127" s="956"/>
      <c r="AF127" s="65"/>
    </row>
    <row r="128" spans="2:32" ht="26.85" customHeight="1" x14ac:dyDescent="0.25">
      <c r="B128" s="345" t="s">
        <v>108</v>
      </c>
      <c r="C128" s="345"/>
      <c r="D128" s="248" t="s">
        <v>25</v>
      </c>
      <c r="E128" s="248"/>
      <c r="F128" s="750" t="s">
        <v>23</v>
      </c>
      <c r="G128" s="750" t="s">
        <v>23</v>
      </c>
      <c r="H128" s="750" t="s">
        <v>23</v>
      </c>
      <c r="I128" s="750" t="s">
        <v>23</v>
      </c>
      <c r="J128" s="697" t="s">
        <v>23</v>
      </c>
      <c r="K128" s="697" t="s">
        <v>23</v>
      </c>
      <c r="L128" s="697" t="s">
        <v>23</v>
      </c>
      <c r="M128" s="689">
        <f>SUM(J128:K128)</f>
        <v>0</v>
      </c>
      <c r="N128" s="918" t="s">
        <v>23</v>
      </c>
      <c r="O128" s="918"/>
      <c r="P128" s="918"/>
      <c r="Q128" s="918" t="s">
        <v>23</v>
      </c>
      <c r="R128" s="918"/>
      <c r="S128" s="918"/>
      <c r="T128" s="918" t="s">
        <v>23</v>
      </c>
      <c r="U128" s="918"/>
      <c r="V128" s="918"/>
      <c r="W128" s="918" t="s">
        <v>23</v>
      </c>
      <c r="X128" s="918"/>
      <c r="Y128" s="918"/>
      <c r="Z128" s="918" t="s">
        <v>23</v>
      </c>
      <c r="AA128" s="918"/>
      <c r="AB128" s="918"/>
      <c r="AC128" s="918" t="s">
        <v>23</v>
      </c>
      <c r="AD128" s="918"/>
      <c r="AE128" s="918"/>
      <c r="AF128" s="65"/>
    </row>
    <row r="129" spans="2:33" ht="26.85" customHeight="1" x14ac:dyDescent="0.25">
      <c r="B129" s="345" t="s">
        <v>109</v>
      </c>
      <c r="C129" s="345"/>
      <c r="D129" s="248" t="s">
        <v>25</v>
      </c>
      <c r="E129" s="248"/>
      <c r="F129" s="750" t="s">
        <v>23</v>
      </c>
      <c r="G129" s="456">
        <v>4</v>
      </c>
      <c r="H129" s="750" t="s">
        <v>23</v>
      </c>
      <c r="I129" s="456">
        <f t="shared" ref="I129:I130" si="47">SUM(F129:G129)</f>
        <v>4</v>
      </c>
      <c r="J129" s="747" t="s">
        <v>23</v>
      </c>
      <c r="K129" s="689">
        <v>1</v>
      </c>
      <c r="L129" s="697" t="s">
        <v>23</v>
      </c>
      <c r="M129" s="689">
        <f t="shared" ref="M129:M130" si="48">SUM(J129:K129)</f>
        <v>1</v>
      </c>
      <c r="N129" s="918" t="s">
        <v>23</v>
      </c>
      <c r="O129" s="918"/>
      <c r="P129" s="918"/>
      <c r="Q129" s="918" t="s">
        <v>23</v>
      </c>
      <c r="R129" s="918"/>
      <c r="S129" s="918"/>
      <c r="T129" s="918" t="s">
        <v>23</v>
      </c>
      <c r="U129" s="918"/>
      <c r="V129" s="918"/>
      <c r="W129" s="918" t="s">
        <v>23</v>
      </c>
      <c r="X129" s="918"/>
      <c r="Y129" s="918"/>
      <c r="Z129" s="918" t="s">
        <v>23</v>
      </c>
      <c r="AA129" s="918"/>
      <c r="AB129" s="918"/>
      <c r="AC129" s="918" t="s">
        <v>23</v>
      </c>
      <c r="AD129" s="918"/>
      <c r="AE129" s="918"/>
      <c r="AF129" s="65"/>
    </row>
    <row r="130" spans="2:33" ht="26.85" customHeight="1" x14ac:dyDescent="0.25">
      <c r="B130" s="345" t="s">
        <v>110</v>
      </c>
      <c r="C130" s="345"/>
      <c r="D130" s="248" t="s">
        <v>25</v>
      </c>
      <c r="E130" s="248"/>
      <c r="F130" s="751">
        <v>1</v>
      </c>
      <c r="G130" s="456">
        <v>4</v>
      </c>
      <c r="H130" s="750" t="s">
        <v>23</v>
      </c>
      <c r="I130" s="456">
        <f t="shared" si="47"/>
        <v>5</v>
      </c>
      <c r="J130" s="747">
        <v>1</v>
      </c>
      <c r="K130" s="689">
        <v>1</v>
      </c>
      <c r="L130" s="697" t="s">
        <v>23</v>
      </c>
      <c r="M130" s="689">
        <f t="shared" si="48"/>
        <v>2</v>
      </c>
      <c r="N130" s="918" t="s">
        <v>23</v>
      </c>
      <c r="O130" s="918"/>
      <c r="P130" s="918"/>
      <c r="Q130" s="918" t="s">
        <v>23</v>
      </c>
      <c r="R130" s="918"/>
      <c r="S130" s="918"/>
      <c r="T130" s="918" t="s">
        <v>23</v>
      </c>
      <c r="U130" s="918"/>
      <c r="V130" s="918"/>
      <c r="W130" s="918" t="s">
        <v>23</v>
      </c>
      <c r="X130" s="918"/>
      <c r="Y130" s="918"/>
      <c r="Z130" s="918" t="s">
        <v>23</v>
      </c>
      <c r="AA130" s="918"/>
      <c r="AB130" s="918"/>
      <c r="AC130" s="918" t="s">
        <v>23</v>
      </c>
      <c r="AD130" s="918"/>
      <c r="AE130" s="918"/>
      <c r="AF130" s="65"/>
    </row>
    <row r="131" spans="2:33" ht="26.85" customHeight="1" x14ac:dyDescent="0.25">
      <c r="B131" s="345" t="s">
        <v>111</v>
      </c>
      <c r="C131" s="345"/>
      <c r="D131" s="248" t="s">
        <v>25</v>
      </c>
      <c r="E131" s="248"/>
      <c r="F131" s="750" t="s">
        <v>23</v>
      </c>
      <c r="G131" s="750" t="s">
        <v>23</v>
      </c>
      <c r="H131" s="750" t="s">
        <v>23</v>
      </c>
      <c r="I131" s="750" t="s">
        <v>23</v>
      </c>
      <c r="J131" s="697" t="s">
        <v>23</v>
      </c>
      <c r="K131" s="697" t="s">
        <v>23</v>
      </c>
      <c r="L131" s="697" t="s">
        <v>23</v>
      </c>
      <c r="M131" s="697" t="s">
        <v>23</v>
      </c>
      <c r="N131" s="918" t="s">
        <v>23</v>
      </c>
      <c r="O131" s="918"/>
      <c r="P131" s="918"/>
      <c r="Q131" s="918" t="s">
        <v>23</v>
      </c>
      <c r="R131" s="918"/>
      <c r="S131" s="918"/>
      <c r="T131" s="918" t="s">
        <v>23</v>
      </c>
      <c r="U131" s="918"/>
      <c r="V131" s="918"/>
      <c r="W131" s="918" t="s">
        <v>23</v>
      </c>
      <c r="X131" s="918"/>
      <c r="Y131" s="918"/>
      <c r="Z131" s="918" t="s">
        <v>23</v>
      </c>
      <c r="AA131" s="918"/>
      <c r="AB131" s="918"/>
      <c r="AC131" s="918" t="s">
        <v>23</v>
      </c>
      <c r="AD131" s="918"/>
      <c r="AE131" s="918"/>
      <c r="AF131" s="65"/>
    </row>
    <row r="132" spans="2:33" ht="26.85" customHeight="1" x14ac:dyDescent="0.25">
      <c r="B132" s="345" t="s">
        <v>112</v>
      </c>
      <c r="C132" s="345"/>
      <c r="D132" s="248" t="s">
        <v>25</v>
      </c>
      <c r="E132" s="248"/>
      <c r="F132" s="750" t="s">
        <v>23</v>
      </c>
      <c r="G132" s="750" t="s">
        <v>23</v>
      </c>
      <c r="H132" s="750" t="s">
        <v>23</v>
      </c>
      <c r="I132" s="750" t="s">
        <v>23</v>
      </c>
      <c r="J132" s="697" t="s">
        <v>23</v>
      </c>
      <c r="K132" s="697" t="s">
        <v>23</v>
      </c>
      <c r="L132" s="697" t="s">
        <v>23</v>
      </c>
      <c r="M132" s="697" t="s">
        <v>23</v>
      </c>
      <c r="N132" s="918" t="s">
        <v>23</v>
      </c>
      <c r="O132" s="918"/>
      <c r="P132" s="918"/>
      <c r="Q132" s="918" t="s">
        <v>23</v>
      </c>
      <c r="R132" s="918"/>
      <c r="S132" s="918"/>
      <c r="T132" s="918" t="s">
        <v>23</v>
      </c>
      <c r="U132" s="918"/>
      <c r="V132" s="918"/>
      <c r="W132" s="918" t="s">
        <v>23</v>
      </c>
      <c r="X132" s="918"/>
      <c r="Y132" s="918"/>
      <c r="Z132" s="918" t="s">
        <v>23</v>
      </c>
      <c r="AA132" s="918"/>
      <c r="AB132" s="918"/>
      <c r="AC132" s="918" t="s">
        <v>23</v>
      </c>
      <c r="AD132" s="918"/>
      <c r="AE132" s="918"/>
      <c r="AF132" s="65"/>
    </row>
    <row r="133" spans="2:33" ht="26.85" customHeight="1" x14ac:dyDescent="0.25">
      <c r="B133" s="345" t="s">
        <v>113</v>
      </c>
      <c r="C133" s="345"/>
      <c r="D133" s="193" t="s">
        <v>25</v>
      </c>
      <c r="E133" s="193"/>
      <c r="F133" s="750" t="s">
        <v>23</v>
      </c>
      <c r="G133" s="750" t="s">
        <v>23</v>
      </c>
      <c r="H133" s="750" t="s">
        <v>23</v>
      </c>
      <c r="I133" s="750" t="s">
        <v>23</v>
      </c>
      <c r="J133" s="697" t="s">
        <v>23</v>
      </c>
      <c r="K133" s="697" t="s">
        <v>23</v>
      </c>
      <c r="L133" s="697" t="s">
        <v>23</v>
      </c>
      <c r="M133" s="697" t="s">
        <v>23</v>
      </c>
      <c r="N133" s="918" t="s">
        <v>23</v>
      </c>
      <c r="O133" s="918"/>
      <c r="P133" s="918"/>
      <c r="Q133" s="918" t="s">
        <v>23</v>
      </c>
      <c r="R133" s="918"/>
      <c r="S133" s="918"/>
      <c r="T133" s="918" t="s">
        <v>23</v>
      </c>
      <c r="U133" s="918"/>
      <c r="V133" s="918"/>
      <c r="W133" s="918" t="s">
        <v>23</v>
      </c>
      <c r="X133" s="918"/>
      <c r="Y133" s="918"/>
      <c r="Z133" s="918" t="s">
        <v>23</v>
      </c>
      <c r="AA133" s="918"/>
      <c r="AB133" s="918"/>
      <c r="AC133" s="918" t="s">
        <v>23</v>
      </c>
      <c r="AD133" s="918"/>
      <c r="AE133" s="918"/>
      <c r="AF133" s="65"/>
    </row>
    <row r="134" spans="2:33" ht="26.85" customHeight="1" x14ac:dyDescent="0.25">
      <c r="B134" s="345" t="s">
        <v>102</v>
      </c>
      <c r="C134" s="345"/>
      <c r="D134" s="248" t="s">
        <v>25</v>
      </c>
      <c r="E134" s="248"/>
      <c r="F134" s="753">
        <f t="shared" ref="F134:I134" si="49">SUM(F128:F133)</f>
        <v>1</v>
      </c>
      <c r="G134" s="456">
        <f t="shared" si="49"/>
        <v>8</v>
      </c>
      <c r="H134" s="456">
        <f t="shared" si="49"/>
        <v>0</v>
      </c>
      <c r="I134" s="456">
        <f t="shared" si="49"/>
        <v>9</v>
      </c>
      <c r="J134" s="748">
        <f t="shared" ref="J134:M134" si="50">SUM(J128:J133)</f>
        <v>1</v>
      </c>
      <c r="K134" s="689">
        <f t="shared" si="50"/>
        <v>2</v>
      </c>
      <c r="L134" s="689">
        <f t="shared" si="50"/>
        <v>0</v>
      </c>
      <c r="M134" s="689">
        <f t="shared" si="50"/>
        <v>3</v>
      </c>
      <c r="N134" s="918" t="s">
        <v>23</v>
      </c>
      <c r="O134" s="918"/>
      <c r="P134" s="918"/>
      <c r="Q134" s="918" t="s">
        <v>23</v>
      </c>
      <c r="R134" s="918"/>
      <c r="S134" s="918"/>
      <c r="T134" s="918" t="s">
        <v>23</v>
      </c>
      <c r="U134" s="918"/>
      <c r="V134" s="918"/>
      <c r="W134" s="918" t="s">
        <v>23</v>
      </c>
      <c r="X134" s="918"/>
      <c r="Y134" s="918"/>
      <c r="Z134" s="918" t="s">
        <v>23</v>
      </c>
      <c r="AA134" s="918"/>
      <c r="AB134" s="918"/>
      <c r="AC134" s="918" t="s">
        <v>23</v>
      </c>
      <c r="AD134" s="918"/>
      <c r="AE134" s="918"/>
      <c r="AF134" s="65"/>
    </row>
    <row r="135" spans="2:33" ht="26.85" customHeight="1" x14ac:dyDescent="0.25">
      <c r="B135" s="231" t="s">
        <v>140</v>
      </c>
      <c r="C135" s="231"/>
      <c r="D135" s="248"/>
      <c r="E135" s="248"/>
      <c r="F135" s="753"/>
      <c r="G135" s="456"/>
      <c r="H135" s="456"/>
      <c r="I135" s="456"/>
      <c r="J135" s="748"/>
      <c r="K135" s="689"/>
      <c r="L135" s="689"/>
      <c r="M135" s="689"/>
      <c r="N135" s="918"/>
      <c r="O135" s="918"/>
      <c r="P135" s="918"/>
      <c r="Q135" s="918"/>
      <c r="R135" s="918"/>
      <c r="S135" s="918"/>
      <c r="T135" s="918"/>
      <c r="U135" s="918"/>
      <c r="V135" s="918"/>
      <c r="W135" s="918"/>
      <c r="X135" s="918"/>
      <c r="Y135" s="918"/>
      <c r="Z135" s="918"/>
      <c r="AA135" s="918"/>
      <c r="AB135" s="918"/>
      <c r="AC135" s="918"/>
      <c r="AD135" s="918"/>
      <c r="AE135" s="918"/>
      <c r="AF135" s="65"/>
    </row>
    <row r="136" spans="2:33" ht="26.85" customHeight="1" x14ac:dyDescent="0.25">
      <c r="B136" s="345" t="s">
        <v>141</v>
      </c>
      <c r="C136" s="345"/>
      <c r="D136" s="248" t="s">
        <v>25</v>
      </c>
      <c r="E136" s="248"/>
      <c r="F136" s="750" t="s">
        <v>23</v>
      </c>
      <c r="G136" s="750" t="s">
        <v>23</v>
      </c>
      <c r="H136" s="750" t="s">
        <v>23</v>
      </c>
      <c r="I136" s="456">
        <f>SUM(F136:G136)</f>
        <v>0</v>
      </c>
      <c r="J136" s="697" t="s">
        <v>23</v>
      </c>
      <c r="K136" s="697" t="s">
        <v>23</v>
      </c>
      <c r="L136" s="697" t="s">
        <v>23</v>
      </c>
      <c r="M136" s="689">
        <f>SUM(J136:K136)</f>
        <v>0</v>
      </c>
      <c r="N136" s="918" t="s">
        <v>23</v>
      </c>
      <c r="O136" s="918"/>
      <c r="P136" s="918"/>
      <c r="Q136" s="918" t="s">
        <v>23</v>
      </c>
      <c r="R136" s="918"/>
      <c r="S136" s="918"/>
      <c r="T136" s="918" t="s">
        <v>23</v>
      </c>
      <c r="U136" s="918"/>
      <c r="V136" s="918"/>
      <c r="W136" s="918" t="s">
        <v>23</v>
      </c>
      <c r="X136" s="918"/>
      <c r="Y136" s="918"/>
      <c r="Z136" s="918" t="s">
        <v>23</v>
      </c>
      <c r="AA136" s="918"/>
      <c r="AB136" s="918"/>
      <c r="AC136" s="918" t="s">
        <v>23</v>
      </c>
      <c r="AD136" s="918"/>
      <c r="AE136" s="918"/>
      <c r="AF136" s="65"/>
    </row>
    <row r="137" spans="2:33" ht="26.85" customHeight="1" x14ac:dyDescent="0.25">
      <c r="B137" s="345" t="s">
        <v>142</v>
      </c>
      <c r="C137" s="345"/>
      <c r="D137" s="248" t="s">
        <v>25</v>
      </c>
      <c r="E137" s="248"/>
      <c r="F137" s="750" t="s">
        <v>23</v>
      </c>
      <c r="G137" s="751">
        <v>1</v>
      </c>
      <c r="H137" s="750" t="s">
        <v>23</v>
      </c>
      <c r="I137" s="456">
        <f t="shared" ref="I137:I141" si="51">SUM(F137:G137)</f>
        <v>1</v>
      </c>
      <c r="J137" s="697" t="s">
        <v>23</v>
      </c>
      <c r="K137" s="697" t="s">
        <v>23</v>
      </c>
      <c r="L137" s="697" t="s">
        <v>23</v>
      </c>
      <c r="M137" s="689">
        <f t="shared" ref="M137:M141" si="52">SUM(J137:K137)</f>
        <v>0</v>
      </c>
      <c r="N137" s="918" t="s">
        <v>23</v>
      </c>
      <c r="O137" s="918"/>
      <c r="P137" s="918"/>
      <c r="Q137" s="918" t="s">
        <v>23</v>
      </c>
      <c r="R137" s="918"/>
      <c r="S137" s="918"/>
      <c r="T137" s="918" t="s">
        <v>23</v>
      </c>
      <c r="U137" s="918"/>
      <c r="V137" s="918"/>
      <c r="W137" s="918" t="s">
        <v>23</v>
      </c>
      <c r="X137" s="918"/>
      <c r="Y137" s="918"/>
      <c r="Z137" s="918" t="s">
        <v>23</v>
      </c>
      <c r="AA137" s="918"/>
      <c r="AB137" s="918"/>
      <c r="AC137" s="918" t="s">
        <v>23</v>
      </c>
      <c r="AD137" s="918"/>
      <c r="AE137" s="918"/>
      <c r="AF137" s="65"/>
    </row>
    <row r="138" spans="2:33" ht="26.85" customHeight="1" x14ac:dyDescent="0.25">
      <c r="B138" s="345" t="s">
        <v>143</v>
      </c>
      <c r="C138" s="345"/>
      <c r="D138" s="248" t="s">
        <v>25</v>
      </c>
      <c r="E138" s="248"/>
      <c r="F138" s="751">
        <v>1</v>
      </c>
      <c r="G138" s="456">
        <v>3</v>
      </c>
      <c r="H138" s="750" t="s">
        <v>23</v>
      </c>
      <c r="I138" s="456">
        <f t="shared" si="51"/>
        <v>4</v>
      </c>
      <c r="J138" s="697" t="s">
        <v>23</v>
      </c>
      <c r="K138" s="689">
        <v>1</v>
      </c>
      <c r="L138" s="697" t="s">
        <v>23</v>
      </c>
      <c r="M138" s="689">
        <f t="shared" si="52"/>
        <v>1</v>
      </c>
      <c r="N138" s="918" t="s">
        <v>23</v>
      </c>
      <c r="O138" s="918"/>
      <c r="P138" s="918"/>
      <c r="Q138" s="918" t="s">
        <v>23</v>
      </c>
      <c r="R138" s="918"/>
      <c r="S138" s="918"/>
      <c r="T138" s="918" t="s">
        <v>23</v>
      </c>
      <c r="U138" s="918"/>
      <c r="V138" s="918"/>
      <c r="W138" s="918" t="s">
        <v>23</v>
      </c>
      <c r="X138" s="918"/>
      <c r="Y138" s="918"/>
      <c r="Z138" s="918" t="s">
        <v>23</v>
      </c>
      <c r="AA138" s="918"/>
      <c r="AB138" s="918"/>
      <c r="AC138" s="918" t="s">
        <v>23</v>
      </c>
      <c r="AD138" s="918"/>
      <c r="AE138" s="918"/>
      <c r="AF138" s="65"/>
    </row>
    <row r="139" spans="2:33" ht="26.85" customHeight="1" x14ac:dyDescent="0.25">
      <c r="B139" s="345" t="s">
        <v>144</v>
      </c>
      <c r="C139" s="345"/>
      <c r="D139" s="248" t="s">
        <v>25</v>
      </c>
      <c r="E139" s="248"/>
      <c r="F139" s="750" t="s">
        <v>23</v>
      </c>
      <c r="G139" s="751">
        <v>2</v>
      </c>
      <c r="H139" s="750" t="s">
        <v>23</v>
      </c>
      <c r="I139" s="456">
        <f t="shared" si="51"/>
        <v>2</v>
      </c>
      <c r="J139" s="747">
        <v>1</v>
      </c>
      <c r="K139" s="747">
        <v>1</v>
      </c>
      <c r="L139" s="697" t="s">
        <v>23</v>
      </c>
      <c r="M139" s="689">
        <f t="shared" si="52"/>
        <v>2</v>
      </c>
      <c r="N139" s="918" t="s">
        <v>23</v>
      </c>
      <c r="O139" s="918"/>
      <c r="P139" s="918"/>
      <c r="Q139" s="918" t="s">
        <v>23</v>
      </c>
      <c r="R139" s="918"/>
      <c r="S139" s="918"/>
      <c r="T139" s="918" t="s">
        <v>23</v>
      </c>
      <c r="U139" s="918"/>
      <c r="V139" s="918"/>
      <c r="W139" s="918" t="s">
        <v>23</v>
      </c>
      <c r="X139" s="918"/>
      <c r="Y139" s="918"/>
      <c r="Z139" s="918" t="s">
        <v>23</v>
      </c>
      <c r="AA139" s="918"/>
      <c r="AB139" s="918"/>
      <c r="AC139" s="918" t="s">
        <v>23</v>
      </c>
      <c r="AD139" s="918"/>
      <c r="AE139" s="918"/>
      <c r="AF139" s="65"/>
    </row>
    <row r="140" spans="2:33" ht="26.85" customHeight="1" x14ac:dyDescent="0.25">
      <c r="B140" s="345" t="s">
        <v>145</v>
      </c>
      <c r="C140" s="345"/>
      <c r="D140" s="248" t="s">
        <v>25</v>
      </c>
      <c r="E140" s="248"/>
      <c r="F140" s="750" t="s">
        <v>23</v>
      </c>
      <c r="G140" s="751">
        <v>2</v>
      </c>
      <c r="H140" s="750" t="s">
        <v>23</v>
      </c>
      <c r="I140" s="456">
        <f t="shared" si="51"/>
        <v>2</v>
      </c>
      <c r="J140" s="697" t="s">
        <v>23</v>
      </c>
      <c r="K140" s="697" t="s">
        <v>23</v>
      </c>
      <c r="L140" s="697" t="s">
        <v>23</v>
      </c>
      <c r="M140" s="689">
        <f t="shared" si="52"/>
        <v>0</v>
      </c>
      <c r="N140" s="918" t="s">
        <v>23</v>
      </c>
      <c r="O140" s="918"/>
      <c r="P140" s="918"/>
      <c r="Q140" s="918" t="s">
        <v>23</v>
      </c>
      <c r="R140" s="918"/>
      <c r="S140" s="918"/>
      <c r="T140" s="918" t="s">
        <v>23</v>
      </c>
      <c r="U140" s="918"/>
      <c r="V140" s="918"/>
      <c r="W140" s="918" t="s">
        <v>23</v>
      </c>
      <c r="X140" s="918"/>
      <c r="Y140" s="918"/>
      <c r="Z140" s="918" t="s">
        <v>23</v>
      </c>
      <c r="AA140" s="918"/>
      <c r="AB140" s="918"/>
      <c r="AC140" s="918" t="s">
        <v>23</v>
      </c>
      <c r="AD140" s="918"/>
      <c r="AE140" s="918"/>
      <c r="AF140" s="65"/>
    </row>
    <row r="141" spans="2:33" ht="26.85" customHeight="1" x14ac:dyDescent="0.25">
      <c r="B141" s="345" t="s">
        <v>146</v>
      </c>
      <c r="C141" s="345"/>
      <c r="D141" s="248" t="s">
        <v>25</v>
      </c>
      <c r="E141" s="248"/>
      <c r="F141" s="750" t="s">
        <v>23</v>
      </c>
      <c r="G141" s="750" t="s">
        <v>23</v>
      </c>
      <c r="H141" s="750" t="s">
        <v>23</v>
      </c>
      <c r="I141" s="456">
        <f t="shared" si="51"/>
        <v>0</v>
      </c>
      <c r="J141" s="697" t="s">
        <v>23</v>
      </c>
      <c r="K141" s="697" t="s">
        <v>23</v>
      </c>
      <c r="L141" s="697" t="s">
        <v>23</v>
      </c>
      <c r="M141" s="689">
        <f t="shared" si="52"/>
        <v>0</v>
      </c>
      <c r="N141" s="918" t="s">
        <v>23</v>
      </c>
      <c r="O141" s="918"/>
      <c r="P141" s="918"/>
      <c r="Q141" s="918" t="s">
        <v>23</v>
      </c>
      <c r="R141" s="918"/>
      <c r="S141" s="918"/>
      <c r="T141" s="918" t="s">
        <v>23</v>
      </c>
      <c r="U141" s="918"/>
      <c r="V141" s="918"/>
      <c r="W141" s="918" t="s">
        <v>23</v>
      </c>
      <c r="X141" s="918"/>
      <c r="Y141" s="918"/>
      <c r="Z141" s="918" t="s">
        <v>23</v>
      </c>
      <c r="AA141" s="918"/>
      <c r="AB141" s="918"/>
      <c r="AC141" s="918" t="s">
        <v>23</v>
      </c>
      <c r="AD141" s="918"/>
      <c r="AE141" s="918"/>
      <c r="AF141" s="65"/>
    </row>
    <row r="142" spans="2:33" ht="26.85" customHeight="1" x14ac:dyDescent="0.25">
      <c r="B142" s="559" t="s">
        <v>102</v>
      </c>
      <c r="C142" s="345"/>
      <c r="D142" s="248" t="s">
        <v>25</v>
      </c>
      <c r="E142" s="248"/>
      <c r="F142" s="753">
        <f t="shared" ref="F142:I142" si="53">SUM(F136:F141)</f>
        <v>1</v>
      </c>
      <c r="G142" s="456">
        <f t="shared" si="53"/>
        <v>8</v>
      </c>
      <c r="H142" s="456">
        <f t="shared" si="53"/>
        <v>0</v>
      </c>
      <c r="I142" s="456">
        <f t="shared" si="53"/>
        <v>9</v>
      </c>
      <c r="J142" s="748">
        <f t="shared" ref="J142:M142" si="54">SUM(J136:J141)</f>
        <v>1</v>
      </c>
      <c r="K142" s="689">
        <f t="shared" si="54"/>
        <v>2</v>
      </c>
      <c r="L142" s="689">
        <f t="shared" si="54"/>
        <v>0</v>
      </c>
      <c r="M142" s="689">
        <f t="shared" si="54"/>
        <v>3</v>
      </c>
      <c r="N142" s="918" t="s">
        <v>23</v>
      </c>
      <c r="O142" s="918"/>
      <c r="P142" s="918"/>
      <c r="Q142" s="918" t="s">
        <v>23</v>
      </c>
      <c r="R142" s="918"/>
      <c r="S142" s="918"/>
      <c r="T142" s="918" t="s">
        <v>23</v>
      </c>
      <c r="U142" s="918"/>
      <c r="V142" s="918"/>
      <c r="W142" s="918" t="s">
        <v>23</v>
      </c>
      <c r="X142" s="918"/>
      <c r="Y142" s="918"/>
      <c r="Z142" s="918" t="s">
        <v>23</v>
      </c>
      <c r="AA142" s="918"/>
      <c r="AB142" s="918"/>
      <c r="AC142" s="918" t="s">
        <v>23</v>
      </c>
      <c r="AD142" s="918"/>
      <c r="AE142" s="918"/>
      <c r="AF142" s="65"/>
    </row>
    <row r="143" spans="2:33" ht="26.85" customHeight="1" x14ac:dyDescent="0.25">
      <c r="B143" s="517" t="s">
        <v>206</v>
      </c>
      <c r="C143" s="518"/>
      <c r="D143" s="518"/>
      <c r="E143" s="518"/>
      <c r="F143" s="537"/>
      <c r="G143" s="537"/>
      <c r="H143" s="537"/>
      <c r="I143" s="537"/>
      <c r="J143" s="737"/>
      <c r="K143" s="737"/>
      <c r="L143" s="737"/>
      <c r="M143" s="737"/>
      <c r="N143" s="538"/>
      <c r="O143" s="538"/>
      <c r="P143" s="538"/>
      <c r="Q143" s="266"/>
      <c r="R143" s="266"/>
      <c r="S143" s="266"/>
      <c r="T143" s="539"/>
      <c r="U143" s="539"/>
      <c r="V143" s="539"/>
      <c r="W143" s="539"/>
      <c r="X143" s="539"/>
      <c r="Y143" s="539"/>
      <c r="Z143" s="539"/>
      <c r="AA143" s="539"/>
      <c r="AB143" s="539"/>
      <c r="AC143" s="539"/>
      <c r="AD143" s="539"/>
      <c r="AE143" s="539"/>
      <c r="AF143" s="540"/>
      <c r="AG143" s="541"/>
    </row>
    <row r="144" spans="2:33" ht="50.1" customHeight="1" x14ac:dyDescent="0.2">
      <c r="B144" s="535"/>
      <c r="C144" s="10"/>
      <c r="D144" s="10"/>
      <c r="E144" s="10"/>
      <c r="F144" s="480"/>
      <c r="G144" s="480"/>
      <c r="H144" s="480"/>
      <c r="I144" s="480"/>
      <c r="J144" s="735"/>
      <c r="K144" s="735"/>
      <c r="L144" s="735"/>
      <c r="M144" s="735"/>
      <c r="N144" s="481"/>
      <c r="O144" s="481"/>
      <c r="P144" s="481"/>
      <c r="Q144" s="333"/>
      <c r="R144" s="333"/>
      <c r="S144" s="333"/>
      <c r="T144" s="536"/>
      <c r="U144" s="536"/>
      <c r="V144" s="536"/>
      <c r="W144" s="536"/>
      <c r="X144" s="536"/>
      <c r="Y144" s="536"/>
      <c r="Z144" s="536"/>
      <c r="AA144" s="536"/>
      <c r="AB144" s="536"/>
      <c r="AC144" s="536"/>
      <c r="AD144" s="536"/>
      <c r="AE144" s="536"/>
      <c r="AF144" s="65"/>
    </row>
    <row r="145" spans="2:32" ht="26.85" customHeight="1" x14ac:dyDescent="0.2">
      <c r="B145" s="6" t="s">
        <v>150</v>
      </c>
      <c r="C145" s="6"/>
      <c r="D145" s="7" t="s">
        <v>9</v>
      </c>
      <c r="E145" s="7"/>
      <c r="F145" s="930" t="s">
        <v>10</v>
      </c>
      <c r="G145" s="930"/>
      <c r="H145" s="930"/>
      <c r="I145" s="930"/>
      <c r="J145" s="980" t="s">
        <v>11</v>
      </c>
      <c r="K145" s="980"/>
      <c r="L145" s="980"/>
      <c r="M145" s="980"/>
      <c r="N145" s="981" t="s">
        <v>12</v>
      </c>
      <c r="O145" s="981"/>
      <c r="P145" s="981"/>
      <c r="Q145" s="981" t="s">
        <v>13</v>
      </c>
      <c r="R145" s="981"/>
      <c r="S145" s="981"/>
      <c r="T145" s="981" t="s">
        <v>14</v>
      </c>
      <c r="U145" s="981"/>
      <c r="V145" s="981"/>
      <c r="W145" s="981" t="s">
        <v>15</v>
      </c>
      <c r="X145" s="981"/>
      <c r="Y145" s="981"/>
      <c r="Z145" s="981" t="s">
        <v>16</v>
      </c>
      <c r="AA145" s="981"/>
      <c r="AB145" s="981"/>
      <c r="AC145" s="981" t="s">
        <v>17</v>
      </c>
      <c r="AD145" s="981"/>
      <c r="AE145" s="981"/>
      <c r="AF145" s="65"/>
    </row>
    <row r="146" spans="2:32" ht="26.85" customHeight="1" x14ac:dyDescent="0.25">
      <c r="B146" s="198"/>
      <c r="C146" s="198"/>
      <c r="D146" s="180"/>
      <c r="E146" s="180"/>
      <c r="F146" s="182" t="s">
        <v>99</v>
      </c>
      <c r="G146" s="182" t="s">
        <v>100</v>
      </c>
      <c r="H146" s="532" t="s">
        <v>101</v>
      </c>
      <c r="I146" s="182" t="s">
        <v>102</v>
      </c>
      <c r="J146" s="452" t="s">
        <v>99</v>
      </c>
      <c r="K146" s="452" t="s">
        <v>100</v>
      </c>
      <c r="L146" s="690" t="s">
        <v>101</v>
      </c>
      <c r="M146" s="452" t="s">
        <v>102</v>
      </c>
      <c r="N146" s="183" t="s">
        <v>99</v>
      </c>
      <c r="O146" s="183" t="s">
        <v>100</v>
      </c>
      <c r="P146" s="183" t="s">
        <v>102</v>
      </c>
      <c r="Q146" s="183" t="s">
        <v>99</v>
      </c>
      <c r="R146" s="183" t="s">
        <v>100</v>
      </c>
      <c r="S146" s="183" t="s">
        <v>102</v>
      </c>
      <c r="T146" s="183" t="s">
        <v>99</v>
      </c>
      <c r="U146" s="183" t="s">
        <v>100</v>
      </c>
      <c r="V146" s="183" t="s">
        <v>102</v>
      </c>
      <c r="W146" s="183" t="s">
        <v>99</v>
      </c>
      <c r="X146" s="183" t="s">
        <v>100</v>
      </c>
      <c r="Y146" s="183" t="s">
        <v>102</v>
      </c>
      <c r="Z146" s="183" t="s">
        <v>99</v>
      </c>
      <c r="AA146" s="183" t="s">
        <v>100</v>
      </c>
      <c r="AB146" s="183" t="s">
        <v>102</v>
      </c>
      <c r="AC146" s="183" t="s">
        <v>99</v>
      </c>
      <c r="AD146" s="183" t="s">
        <v>100</v>
      </c>
      <c r="AE146" s="183" t="s">
        <v>102</v>
      </c>
      <c r="AF146" s="58"/>
    </row>
    <row r="147" spans="2:32" ht="26.85" customHeight="1" x14ac:dyDescent="0.25">
      <c r="B147" s="193" t="s">
        <v>151</v>
      </c>
      <c r="C147" s="193"/>
      <c r="D147" s="193" t="s">
        <v>25</v>
      </c>
      <c r="E147" s="193"/>
      <c r="F147" s="233">
        <v>32</v>
      </c>
      <c r="G147" s="233">
        <v>34</v>
      </c>
      <c r="H147" s="750" t="s">
        <v>23</v>
      </c>
      <c r="I147" s="456">
        <f>SUM(F147:G147)</f>
        <v>66</v>
      </c>
      <c r="J147" s="747">
        <v>32</v>
      </c>
      <c r="K147" s="747">
        <v>37</v>
      </c>
      <c r="L147" s="697" t="s">
        <v>23</v>
      </c>
      <c r="M147" s="689">
        <f t="shared" ref="M147:M151" si="55">SUM(J147:K147)</f>
        <v>69</v>
      </c>
      <c r="N147" s="372" t="s">
        <v>23</v>
      </c>
      <c r="O147" s="372" t="s">
        <v>23</v>
      </c>
      <c r="P147" s="372" t="s">
        <v>23</v>
      </c>
      <c r="Q147" s="372" t="s">
        <v>23</v>
      </c>
      <c r="R147" s="372" t="s">
        <v>23</v>
      </c>
      <c r="S147" s="372" t="s">
        <v>23</v>
      </c>
      <c r="T147" s="372" t="s">
        <v>23</v>
      </c>
      <c r="U147" s="372" t="s">
        <v>23</v>
      </c>
      <c r="V147" s="372" t="s">
        <v>23</v>
      </c>
      <c r="W147" s="372" t="s">
        <v>23</v>
      </c>
      <c r="X147" s="372" t="s">
        <v>23</v>
      </c>
      <c r="Y147" s="372" t="s">
        <v>23</v>
      </c>
      <c r="Z147" s="372" t="s">
        <v>23</v>
      </c>
      <c r="AA147" s="372" t="s">
        <v>23</v>
      </c>
      <c r="AB147" s="372" t="s">
        <v>23</v>
      </c>
      <c r="AC147" s="372" t="s">
        <v>23</v>
      </c>
      <c r="AD147" s="372" t="s">
        <v>23</v>
      </c>
      <c r="AE147" s="372" t="s">
        <v>23</v>
      </c>
    </row>
    <row r="148" spans="2:32" ht="26.85" customHeight="1" x14ac:dyDescent="0.25">
      <c r="B148" s="193" t="s">
        <v>152</v>
      </c>
      <c r="C148" s="193"/>
      <c r="D148" s="193" t="s">
        <v>25</v>
      </c>
      <c r="E148" s="193"/>
      <c r="F148" s="233">
        <v>2</v>
      </c>
      <c r="G148" s="233">
        <v>2</v>
      </c>
      <c r="H148" s="750" t="s">
        <v>23</v>
      </c>
      <c r="I148" s="456">
        <f>SUM(F148:G148)</f>
        <v>4</v>
      </c>
      <c r="J148" s="747">
        <v>3</v>
      </c>
      <c r="K148" s="747">
        <v>2</v>
      </c>
      <c r="L148" s="697" t="s">
        <v>23</v>
      </c>
      <c r="M148" s="689">
        <f t="shared" si="55"/>
        <v>5</v>
      </c>
      <c r="N148" s="373">
        <v>3</v>
      </c>
      <c r="O148" s="373">
        <v>4</v>
      </c>
      <c r="P148" s="373">
        <f>SUM(N148:O148)</f>
        <v>7</v>
      </c>
      <c r="Q148" s="191">
        <v>2</v>
      </c>
      <c r="R148" s="191">
        <v>11</v>
      </c>
      <c r="S148" s="191">
        <v>13</v>
      </c>
      <c r="T148" s="374">
        <v>3</v>
      </c>
      <c r="U148" s="374">
        <v>8</v>
      </c>
      <c r="V148" s="374">
        <f>SUM(T148:U148)</f>
        <v>11</v>
      </c>
      <c r="W148" s="374">
        <v>2</v>
      </c>
      <c r="X148" s="374">
        <v>2</v>
      </c>
      <c r="Y148" s="374">
        <f>SUM(W148:X148)</f>
        <v>4</v>
      </c>
      <c r="Z148" s="374">
        <v>4</v>
      </c>
      <c r="AA148" s="374">
        <v>1</v>
      </c>
      <c r="AB148" s="374">
        <f>SUM(Z148:AA148)</f>
        <v>5</v>
      </c>
      <c r="AC148" s="374">
        <v>2</v>
      </c>
      <c r="AD148" s="374">
        <v>4</v>
      </c>
      <c r="AE148" s="374">
        <f>SUM(AC148:AD148)</f>
        <v>6</v>
      </c>
      <c r="AF148" s="65"/>
    </row>
    <row r="149" spans="2:32" ht="26.85" customHeight="1" x14ac:dyDescent="0.25">
      <c r="B149" s="193" t="s">
        <v>153</v>
      </c>
      <c r="C149" s="193"/>
      <c r="D149" s="193" t="s">
        <v>25</v>
      </c>
      <c r="E149" s="193"/>
      <c r="F149" s="233">
        <v>2</v>
      </c>
      <c r="G149" s="233">
        <v>2</v>
      </c>
      <c r="H149" s="750" t="s">
        <v>23</v>
      </c>
      <c r="I149" s="456">
        <f>SUM(F149:G149)</f>
        <v>4</v>
      </c>
      <c r="J149" s="747">
        <v>3</v>
      </c>
      <c r="K149" s="747">
        <v>2</v>
      </c>
      <c r="L149" s="697" t="s">
        <v>23</v>
      </c>
      <c r="M149" s="689">
        <f t="shared" si="55"/>
        <v>5</v>
      </c>
      <c r="N149" s="372" t="s">
        <v>23</v>
      </c>
      <c r="O149" s="372" t="s">
        <v>23</v>
      </c>
      <c r="P149" s="372" t="s">
        <v>23</v>
      </c>
      <c r="Q149" s="372" t="s">
        <v>23</v>
      </c>
      <c r="R149" s="372" t="s">
        <v>23</v>
      </c>
      <c r="S149" s="372" t="s">
        <v>23</v>
      </c>
      <c r="T149" s="372" t="s">
        <v>23</v>
      </c>
      <c r="U149" s="372" t="s">
        <v>23</v>
      </c>
      <c r="V149" s="372" t="s">
        <v>23</v>
      </c>
      <c r="W149" s="372" t="s">
        <v>23</v>
      </c>
      <c r="X149" s="372" t="s">
        <v>23</v>
      </c>
      <c r="Y149" s="372" t="s">
        <v>23</v>
      </c>
      <c r="Z149" s="372" t="s">
        <v>23</v>
      </c>
      <c r="AA149" s="372" t="s">
        <v>23</v>
      </c>
      <c r="AB149" s="372" t="s">
        <v>23</v>
      </c>
      <c r="AC149" s="372" t="s">
        <v>23</v>
      </c>
      <c r="AD149" s="372" t="s">
        <v>23</v>
      </c>
      <c r="AE149" s="372" t="s">
        <v>23</v>
      </c>
      <c r="AF149" s="65"/>
    </row>
    <row r="150" spans="2:32" ht="26.85" customHeight="1" x14ac:dyDescent="0.25">
      <c r="B150" s="193" t="s">
        <v>154</v>
      </c>
      <c r="C150" s="193"/>
      <c r="D150" s="193" t="s">
        <v>31</v>
      </c>
      <c r="E150" s="193"/>
      <c r="F150" s="534">
        <v>1</v>
      </c>
      <c r="G150" s="534">
        <v>1</v>
      </c>
      <c r="H150" s="750" t="s">
        <v>23</v>
      </c>
      <c r="I150" s="534">
        <v>1</v>
      </c>
      <c r="J150" s="749">
        <v>1</v>
      </c>
      <c r="K150" s="749">
        <v>0.5</v>
      </c>
      <c r="L150" s="697" t="s">
        <v>23</v>
      </c>
      <c r="M150" s="693">
        <v>0.71399999999999997</v>
      </c>
      <c r="N150" s="372" t="s">
        <v>23</v>
      </c>
      <c r="O150" s="372" t="s">
        <v>23</v>
      </c>
      <c r="P150" s="372" t="s">
        <v>23</v>
      </c>
      <c r="Q150" s="372" t="s">
        <v>23</v>
      </c>
      <c r="R150" s="372" t="s">
        <v>23</v>
      </c>
      <c r="S150" s="372" t="s">
        <v>23</v>
      </c>
      <c r="T150" s="372" t="s">
        <v>23</v>
      </c>
      <c r="U150" s="372" t="s">
        <v>23</v>
      </c>
      <c r="V150" s="372" t="s">
        <v>23</v>
      </c>
      <c r="W150" s="372" t="s">
        <v>23</v>
      </c>
      <c r="X150" s="372" t="s">
        <v>23</v>
      </c>
      <c r="Y150" s="372" t="s">
        <v>23</v>
      </c>
      <c r="Z150" s="372" t="s">
        <v>23</v>
      </c>
      <c r="AA150" s="372" t="s">
        <v>23</v>
      </c>
      <c r="AB150" s="372" t="s">
        <v>23</v>
      </c>
      <c r="AC150" s="372" t="s">
        <v>23</v>
      </c>
      <c r="AD150" s="372" t="s">
        <v>23</v>
      </c>
      <c r="AE150" s="372" t="s">
        <v>23</v>
      </c>
      <c r="AF150" s="65"/>
    </row>
    <row r="151" spans="2:32" ht="39.950000000000003" customHeight="1" x14ac:dyDescent="0.25">
      <c r="B151" s="248" t="s">
        <v>155</v>
      </c>
      <c r="C151" s="193"/>
      <c r="D151" s="193" t="s">
        <v>25</v>
      </c>
      <c r="E151" s="193"/>
      <c r="F151" s="233">
        <v>3</v>
      </c>
      <c r="G151" s="233">
        <v>2</v>
      </c>
      <c r="H151" s="750" t="s">
        <v>23</v>
      </c>
      <c r="I151" s="456">
        <f>SUM(F151:G151)</f>
        <v>5</v>
      </c>
      <c r="J151" s="747">
        <v>3</v>
      </c>
      <c r="K151" s="747">
        <v>2</v>
      </c>
      <c r="L151" s="697" t="s">
        <v>23</v>
      </c>
      <c r="M151" s="689">
        <f t="shared" si="55"/>
        <v>5</v>
      </c>
      <c r="N151" s="372" t="s">
        <v>23</v>
      </c>
      <c r="O151" s="372" t="s">
        <v>23</v>
      </c>
      <c r="P151" s="372" t="s">
        <v>23</v>
      </c>
      <c r="Q151" s="372" t="s">
        <v>23</v>
      </c>
      <c r="R151" s="372" t="s">
        <v>23</v>
      </c>
      <c r="S151" s="372" t="s">
        <v>23</v>
      </c>
      <c r="T151" s="372" t="s">
        <v>23</v>
      </c>
      <c r="U151" s="372" t="s">
        <v>23</v>
      </c>
      <c r="V151" s="372" t="s">
        <v>23</v>
      </c>
      <c r="W151" s="372" t="s">
        <v>23</v>
      </c>
      <c r="X151" s="372" t="s">
        <v>23</v>
      </c>
      <c r="Y151" s="372" t="s">
        <v>23</v>
      </c>
      <c r="Z151" s="372" t="s">
        <v>23</v>
      </c>
      <c r="AA151" s="372" t="s">
        <v>23</v>
      </c>
      <c r="AB151" s="372" t="s">
        <v>23</v>
      </c>
      <c r="AC151" s="372" t="s">
        <v>23</v>
      </c>
      <c r="AD151" s="372" t="s">
        <v>23</v>
      </c>
      <c r="AE151" s="372" t="s">
        <v>23</v>
      </c>
      <c r="AF151" s="50"/>
    </row>
    <row r="152" spans="2:32" ht="50.1" customHeight="1" x14ac:dyDescent="0.2">
      <c r="B152" s="188"/>
      <c r="C152" s="188"/>
      <c r="D152" s="180"/>
      <c r="E152" s="180"/>
      <c r="F152" s="262"/>
      <c r="G152" s="262"/>
      <c r="H152" s="262"/>
      <c r="I152" s="262"/>
      <c r="J152" s="653"/>
      <c r="K152" s="653"/>
      <c r="L152" s="653"/>
      <c r="M152" s="653"/>
      <c r="N152" s="185"/>
      <c r="O152" s="185"/>
      <c r="P152" s="185"/>
      <c r="Q152" s="185"/>
      <c r="R152" s="185"/>
      <c r="S152" s="185"/>
      <c r="T152" s="185"/>
      <c r="U152" s="207"/>
      <c r="V152" s="207"/>
      <c r="W152" s="207"/>
      <c r="X152" s="207"/>
      <c r="Y152" s="207"/>
      <c r="Z152" s="207"/>
      <c r="AA152" s="207"/>
      <c r="AB152" s="207"/>
      <c r="AC152" s="207"/>
      <c r="AD152" s="185"/>
      <c r="AE152" s="185"/>
      <c r="AF152" s="50"/>
    </row>
    <row r="153" spans="2:32" ht="26.85" customHeight="1" x14ac:dyDescent="0.2">
      <c r="B153" s="6" t="s">
        <v>156</v>
      </c>
      <c r="C153" s="6"/>
      <c r="D153" s="7" t="s">
        <v>9</v>
      </c>
      <c r="E153" s="7"/>
      <c r="F153" s="930" t="s">
        <v>10</v>
      </c>
      <c r="G153" s="930"/>
      <c r="H153" s="930"/>
      <c r="I153" s="930"/>
      <c r="J153" s="980" t="s">
        <v>11</v>
      </c>
      <c r="K153" s="980"/>
      <c r="L153" s="980"/>
      <c r="M153" s="980"/>
      <c r="N153" s="981" t="s">
        <v>12</v>
      </c>
      <c r="O153" s="981"/>
      <c r="P153" s="981"/>
      <c r="Q153" s="981" t="s">
        <v>13</v>
      </c>
      <c r="R153" s="981"/>
      <c r="S153" s="981"/>
      <c r="T153" s="981" t="s">
        <v>14</v>
      </c>
      <c r="U153" s="981"/>
      <c r="V153" s="981"/>
      <c r="W153" s="981" t="s">
        <v>15</v>
      </c>
      <c r="X153" s="981"/>
      <c r="Y153" s="981"/>
      <c r="Z153" s="981" t="s">
        <v>16</v>
      </c>
      <c r="AA153" s="981"/>
      <c r="AB153" s="981"/>
      <c r="AC153" s="981" t="s">
        <v>17</v>
      </c>
      <c r="AD153" s="981"/>
      <c r="AE153" s="981"/>
      <c r="AF153" s="50"/>
    </row>
    <row r="154" spans="2:32" ht="26.85" customHeight="1" x14ac:dyDescent="0.25">
      <c r="B154" s="180" t="s">
        <v>141</v>
      </c>
      <c r="C154" s="180"/>
      <c r="D154" s="286" t="s">
        <v>31</v>
      </c>
      <c r="E154" s="286"/>
      <c r="F154" s="948">
        <v>1.37E-2</v>
      </c>
      <c r="G154" s="948"/>
      <c r="H154" s="948"/>
      <c r="I154" s="948"/>
      <c r="J154" s="937">
        <v>0</v>
      </c>
      <c r="K154" s="937"/>
      <c r="L154" s="937"/>
      <c r="M154" s="937"/>
      <c r="N154" s="966">
        <v>0</v>
      </c>
      <c r="O154" s="966"/>
      <c r="P154" s="966"/>
      <c r="Q154" s="966">
        <v>0</v>
      </c>
      <c r="R154" s="966"/>
      <c r="S154" s="966"/>
      <c r="T154" s="965">
        <v>8.3000000000000001E-3</v>
      </c>
      <c r="U154" s="965"/>
      <c r="V154" s="965"/>
      <c r="W154" s="965">
        <v>7.7999999999999996E-3</v>
      </c>
      <c r="X154" s="965"/>
      <c r="Y154" s="965"/>
      <c r="Z154" s="965">
        <v>7.1000000000000004E-3</v>
      </c>
      <c r="AA154" s="965"/>
      <c r="AB154" s="965"/>
      <c r="AC154" s="965">
        <v>1.0800000000000001E-2</v>
      </c>
      <c r="AD154" s="965"/>
      <c r="AE154" s="965"/>
      <c r="AF154" s="50"/>
    </row>
    <row r="155" spans="2:32" ht="26.85" customHeight="1" x14ac:dyDescent="0.25">
      <c r="B155" s="180" t="s">
        <v>142</v>
      </c>
      <c r="C155" s="180"/>
      <c r="D155" s="286" t="s">
        <v>31</v>
      </c>
      <c r="E155" s="286"/>
      <c r="F155" s="948">
        <v>0.13700000000000001</v>
      </c>
      <c r="G155" s="948"/>
      <c r="H155" s="948"/>
      <c r="I155" s="948"/>
      <c r="J155" s="924">
        <v>0.15279999999999999</v>
      </c>
      <c r="K155" s="924"/>
      <c r="L155" s="924"/>
      <c r="M155" s="924"/>
      <c r="N155" s="967">
        <v>0.15</v>
      </c>
      <c r="O155" s="967"/>
      <c r="P155" s="967"/>
      <c r="Q155" s="960">
        <v>0.12</v>
      </c>
      <c r="R155" s="960"/>
      <c r="S155" s="960"/>
      <c r="T155" s="961">
        <v>0.124</v>
      </c>
      <c r="U155" s="961"/>
      <c r="V155" s="961"/>
      <c r="W155" s="961">
        <v>0.1216</v>
      </c>
      <c r="X155" s="961"/>
      <c r="Y155" s="961"/>
      <c r="Z155" s="961">
        <v>9.2499999999999999E-2</v>
      </c>
      <c r="AA155" s="961"/>
      <c r="AB155" s="961"/>
      <c r="AC155" s="964">
        <v>0.1079</v>
      </c>
      <c r="AD155" s="964"/>
      <c r="AE155" s="964"/>
      <c r="AF155" s="50"/>
    </row>
    <row r="156" spans="2:32" ht="26.85" customHeight="1" x14ac:dyDescent="0.25">
      <c r="B156" s="180" t="s">
        <v>143</v>
      </c>
      <c r="C156" s="180"/>
      <c r="D156" s="286" t="s">
        <v>31</v>
      </c>
      <c r="E156" s="286"/>
      <c r="F156" s="948">
        <v>0.43840000000000001</v>
      </c>
      <c r="G156" s="948"/>
      <c r="H156" s="948"/>
      <c r="I156" s="948"/>
      <c r="J156" s="924">
        <v>0.48609999999999998</v>
      </c>
      <c r="K156" s="924"/>
      <c r="L156" s="924"/>
      <c r="M156" s="924"/>
      <c r="N156" s="967">
        <v>0.51</v>
      </c>
      <c r="O156" s="967"/>
      <c r="P156" s="967"/>
      <c r="Q156" s="960">
        <v>0.35</v>
      </c>
      <c r="R156" s="960"/>
      <c r="S156" s="960"/>
      <c r="T156" s="961">
        <v>0.34710000000000002</v>
      </c>
      <c r="U156" s="961"/>
      <c r="V156" s="961"/>
      <c r="W156" s="961">
        <v>0.3569</v>
      </c>
      <c r="X156" s="961"/>
      <c r="Y156" s="961"/>
      <c r="Z156" s="961">
        <v>0.3488</v>
      </c>
      <c r="AA156" s="961"/>
      <c r="AB156" s="961"/>
      <c r="AC156" s="964">
        <v>0.34889999999999999</v>
      </c>
      <c r="AD156" s="964"/>
      <c r="AE156" s="964"/>
      <c r="AF156" s="50"/>
    </row>
    <row r="157" spans="2:32" ht="26.85" customHeight="1" x14ac:dyDescent="0.25">
      <c r="B157" s="180" t="s">
        <v>144</v>
      </c>
      <c r="C157" s="180"/>
      <c r="D157" s="286" t="s">
        <v>31</v>
      </c>
      <c r="E157" s="286"/>
      <c r="F157" s="948">
        <v>0.28770000000000001</v>
      </c>
      <c r="G157" s="948"/>
      <c r="H157" s="948"/>
      <c r="I157" s="948"/>
      <c r="J157" s="924">
        <v>0.26390000000000002</v>
      </c>
      <c r="K157" s="924"/>
      <c r="L157" s="924"/>
      <c r="M157" s="924"/>
      <c r="N157" s="967">
        <v>0.25</v>
      </c>
      <c r="O157" s="967"/>
      <c r="P157" s="967"/>
      <c r="Q157" s="960">
        <v>0.36</v>
      </c>
      <c r="R157" s="960"/>
      <c r="S157" s="960"/>
      <c r="T157" s="961">
        <v>0.34710000000000002</v>
      </c>
      <c r="U157" s="961"/>
      <c r="V157" s="961"/>
      <c r="W157" s="961">
        <v>0.35289999999999999</v>
      </c>
      <c r="X157" s="961"/>
      <c r="Y157" s="961"/>
      <c r="Z157" s="961">
        <v>0.36299999999999999</v>
      </c>
      <c r="AA157" s="961"/>
      <c r="AB157" s="961"/>
      <c r="AC157" s="964">
        <v>0.35610000000000003</v>
      </c>
      <c r="AD157" s="964"/>
      <c r="AE157" s="964"/>
      <c r="AF157" s="50"/>
    </row>
    <row r="158" spans="2:32" ht="26.85" customHeight="1" x14ac:dyDescent="0.25">
      <c r="B158" s="180" t="s">
        <v>145</v>
      </c>
      <c r="C158" s="180"/>
      <c r="D158" s="286" t="s">
        <v>31</v>
      </c>
      <c r="E158" s="286"/>
      <c r="F158" s="948">
        <v>0.1096</v>
      </c>
      <c r="G158" s="948"/>
      <c r="H158" s="948"/>
      <c r="I158" s="948"/>
      <c r="J158" s="924">
        <v>9.7199999999999995E-2</v>
      </c>
      <c r="K158" s="924"/>
      <c r="L158" s="924"/>
      <c r="M158" s="924"/>
      <c r="N158" s="967">
        <v>0.09</v>
      </c>
      <c r="O158" s="967"/>
      <c r="P158" s="967"/>
      <c r="Q158" s="960">
        <v>0.16</v>
      </c>
      <c r="R158" s="960"/>
      <c r="S158" s="960"/>
      <c r="T158" s="961">
        <v>0.15290000000000001</v>
      </c>
      <c r="U158" s="961"/>
      <c r="V158" s="961"/>
      <c r="W158" s="961">
        <v>0.14510000000000001</v>
      </c>
      <c r="X158" s="961"/>
      <c r="Y158" s="961"/>
      <c r="Z158" s="961">
        <v>0.1673</v>
      </c>
      <c r="AA158" s="961"/>
      <c r="AB158" s="961"/>
      <c r="AC158" s="964">
        <v>0.16550000000000001</v>
      </c>
      <c r="AD158" s="964"/>
      <c r="AE158" s="964"/>
      <c r="AF158" s="50"/>
    </row>
    <row r="159" spans="2:32" ht="26.85" customHeight="1" x14ac:dyDescent="0.25">
      <c r="B159" s="180" t="s">
        <v>146</v>
      </c>
      <c r="C159" s="180"/>
      <c r="D159" s="286" t="s">
        <v>31</v>
      </c>
      <c r="E159" s="286"/>
      <c r="F159" s="948">
        <v>1.37E-2</v>
      </c>
      <c r="G159" s="948"/>
      <c r="H159" s="948"/>
      <c r="I159" s="948"/>
      <c r="J159" s="937">
        <v>0</v>
      </c>
      <c r="K159" s="937"/>
      <c r="L159" s="937"/>
      <c r="M159" s="937"/>
      <c r="N159" s="967">
        <v>0</v>
      </c>
      <c r="O159" s="967"/>
      <c r="P159" s="967"/>
      <c r="Q159" s="960">
        <v>0.01</v>
      </c>
      <c r="R159" s="960"/>
      <c r="S159" s="960"/>
      <c r="T159" s="961">
        <v>2.07E-2</v>
      </c>
      <c r="U159" s="961"/>
      <c r="V159" s="961"/>
      <c r="W159" s="961">
        <v>1.5699999999999999E-2</v>
      </c>
      <c r="X159" s="961"/>
      <c r="Y159" s="961"/>
      <c r="Z159" s="961">
        <v>2.1399999999999999E-2</v>
      </c>
      <c r="AA159" s="961"/>
      <c r="AB159" s="961"/>
      <c r="AC159" s="964">
        <v>1.0800000000000001E-2</v>
      </c>
      <c r="AD159" s="964"/>
      <c r="AE159" s="964"/>
      <c r="AF159" s="50"/>
    </row>
    <row r="160" spans="2:32" ht="50.1" customHeight="1" x14ac:dyDescent="0.2">
      <c r="B160" s="188"/>
      <c r="C160" s="188"/>
      <c r="D160" s="180"/>
      <c r="E160" s="180"/>
      <c r="F160" s="505"/>
      <c r="G160" s="505"/>
      <c r="H160" s="505"/>
      <c r="I160" s="505"/>
      <c r="J160" s="738"/>
      <c r="K160" s="738"/>
      <c r="L160" s="738"/>
      <c r="M160" s="738"/>
      <c r="N160" s="185"/>
      <c r="O160" s="185"/>
      <c r="P160" s="185"/>
      <c r="Q160" s="185"/>
      <c r="R160" s="185"/>
      <c r="S160" s="185"/>
      <c r="T160" s="185"/>
      <c r="U160" s="207"/>
      <c r="V160" s="207"/>
      <c r="W160" s="207"/>
      <c r="X160" s="207"/>
      <c r="Y160" s="207"/>
      <c r="Z160" s="207"/>
      <c r="AA160" s="207"/>
      <c r="AB160" s="207"/>
      <c r="AC160" s="207"/>
      <c r="AD160" s="185"/>
      <c r="AE160" s="185"/>
      <c r="AF160" s="50"/>
    </row>
    <row r="161" spans="2:32" ht="26.85" customHeight="1" x14ac:dyDescent="0.2">
      <c r="B161" s="6" t="s">
        <v>157</v>
      </c>
      <c r="C161" s="6"/>
      <c r="D161" s="7" t="s">
        <v>9</v>
      </c>
      <c r="E161" s="7"/>
      <c r="F161" s="930" t="s">
        <v>10</v>
      </c>
      <c r="G161" s="930"/>
      <c r="H161" s="930"/>
      <c r="I161" s="930"/>
      <c r="J161" s="986" t="s">
        <v>11</v>
      </c>
      <c r="K161" s="986"/>
      <c r="L161" s="986"/>
      <c r="M161" s="986"/>
      <c r="N161" s="981" t="s">
        <v>12</v>
      </c>
      <c r="O161" s="981"/>
      <c r="P161" s="981"/>
      <c r="Q161" s="981" t="s">
        <v>13</v>
      </c>
      <c r="R161" s="981"/>
      <c r="S161" s="981"/>
      <c r="T161" s="981" t="s">
        <v>14</v>
      </c>
      <c r="U161" s="981"/>
      <c r="V161" s="981"/>
      <c r="W161" s="981" t="s">
        <v>15</v>
      </c>
      <c r="X161" s="981"/>
      <c r="Y161" s="981"/>
      <c r="Z161" s="981" t="s">
        <v>16</v>
      </c>
      <c r="AA161" s="981"/>
      <c r="AB161" s="981"/>
      <c r="AC161" s="981" t="s">
        <v>17</v>
      </c>
      <c r="AD161" s="981"/>
      <c r="AE161" s="981"/>
      <c r="AF161" s="50"/>
    </row>
    <row r="162" spans="2:32" ht="26.85" customHeight="1" x14ac:dyDescent="0.25">
      <c r="B162" s="286" t="s">
        <v>158</v>
      </c>
      <c r="C162" s="286"/>
      <c r="D162" s="180" t="s">
        <v>31</v>
      </c>
      <c r="E162" s="180"/>
      <c r="F162" s="948">
        <v>0.16439999999999999</v>
      </c>
      <c r="G162" s="948"/>
      <c r="H162" s="948"/>
      <c r="I162" s="948"/>
      <c r="J162" s="924">
        <v>5.5599999999999997E-2</v>
      </c>
      <c r="K162" s="924"/>
      <c r="L162" s="924"/>
      <c r="M162" s="924"/>
      <c r="N162" s="960">
        <v>0.34</v>
      </c>
      <c r="O162" s="960"/>
      <c r="P162" s="960"/>
      <c r="Q162" s="960">
        <v>0.1</v>
      </c>
      <c r="R162" s="960"/>
      <c r="S162" s="960"/>
      <c r="T162" s="983">
        <v>2.4799999999999999E-2</v>
      </c>
      <c r="U162" s="983"/>
      <c r="V162" s="983"/>
      <c r="W162" s="983">
        <v>9.4100000000000003E-2</v>
      </c>
      <c r="X162" s="983"/>
      <c r="Y162" s="983"/>
      <c r="Z162" s="983">
        <v>2.1399999999999999E-2</v>
      </c>
      <c r="AA162" s="983"/>
      <c r="AB162" s="983"/>
      <c r="AC162" s="983">
        <v>7.5499999999999998E-2</v>
      </c>
      <c r="AD162" s="983"/>
      <c r="AE162" s="983"/>
      <c r="AF162" s="50"/>
    </row>
    <row r="163" spans="2:32" ht="26.85" customHeight="1" x14ac:dyDescent="0.25">
      <c r="B163" s="180" t="s">
        <v>159</v>
      </c>
      <c r="C163" s="180"/>
      <c r="D163" s="180" t="s">
        <v>31</v>
      </c>
      <c r="E163" s="180"/>
      <c r="F163" s="948">
        <v>6.8500000000000005E-2</v>
      </c>
      <c r="G163" s="948"/>
      <c r="H163" s="948"/>
      <c r="I163" s="948"/>
      <c r="J163" s="924">
        <v>0.33329999999999999</v>
      </c>
      <c r="K163" s="924"/>
      <c r="L163" s="924"/>
      <c r="M163" s="924"/>
      <c r="N163" s="960">
        <v>0.2</v>
      </c>
      <c r="O163" s="960"/>
      <c r="P163" s="960"/>
      <c r="Q163" s="960">
        <v>0.02</v>
      </c>
      <c r="R163" s="960"/>
      <c r="S163" s="960"/>
      <c r="T163" s="983">
        <v>9.9199999999999997E-2</v>
      </c>
      <c r="U163" s="983"/>
      <c r="V163" s="983"/>
      <c r="W163" s="983">
        <v>4.7100000000000003E-2</v>
      </c>
      <c r="X163" s="983"/>
      <c r="Y163" s="983"/>
      <c r="Z163" s="983">
        <v>6.4100000000000004E-2</v>
      </c>
      <c r="AA163" s="983"/>
      <c r="AB163" s="983"/>
      <c r="AC163" s="983">
        <v>1.0800000000000001E-2</v>
      </c>
      <c r="AD163" s="983"/>
      <c r="AE163" s="983"/>
      <c r="AF163" s="50"/>
    </row>
    <row r="164" spans="2:32" ht="26.85" customHeight="1" x14ac:dyDescent="0.25">
      <c r="B164" s="180" t="s">
        <v>160</v>
      </c>
      <c r="C164" s="180"/>
      <c r="D164" s="180" t="s">
        <v>31</v>
      </c>
      <c r="E164" s="180"/>
      <c r="F164" s="948">
        <v>0.4521</v>
      </c>
      <c r="G164" s="948"/>
      <c r="H164" s="948"/>
      <c r="I164" s="948"/>
      <c r="J164" s="924">
        <v>0.41670000000000001</v>
      </c>
      <c r="K164" s="924"/>
      <c r="L164" s="924"/>
      <c r="M164" s="924"/>
      <c r="N164" s="960">
        <v>0.35</v>
      </c>
      <c r="O164" s="960"/>
      <c r="P164" s="960"/>
      <c r="Q164" s="960">
        <v>0.18</v>
      </c>
      <c r="R164" s="960"/>
      <c r="S164" s="960"/>
      <c r="T164" s="983">
        <v>0.1116</v>
      </c>
      <c r="U164" s="983"/>
      <c r="V164" s="983"/>
      <c r="W164" s="983">
        <v>7.0599999999999996E-2</v>
      </c>
      <c r="X164" s="983"/>
      <c r="Y164" s="983"/>
      <c r="Z164" s="983">
        <v>7.1000000000000004E-3</v>
      </c>
      <c r="AA164" s="983"/>
      <c r="AB164" s="983"/>
      <c r="AC164" s="983">
        <v>3.5999999999999999E-3</v>
      </c>
      <c r="AD164" s="983"/>
      <c r="AE164" s="983"/>
      <c r="AF164" s="50"/>
    </row>
    <row r="165" spans="2:32" ht="26.85" customHeight="1" x14ac:dyDescent="0.25">
      <c r="B165" s="180" t="s">
        <v>161</v>
      </c>
      <c r="C165" s="180"/>
      <c r="D165" s="180" t="s">
        <v>31</v>
      </c>
      <c r="E165" s="180"/>
      <c r="F165" s="948">
        <v>0.31509999999999999</v>
      </c>
      <c r="G165" s="948"/>
      <c r="H165" s="948"/>
      <c r="I165" s="948"/>
      <c r="J165" s="924">
        <v>0.19439999999999999</v>
      </c>
      <c r="K165" s="924"/>
      <c r="L165" s="924"/>
      <c r="M165" s="924"/>
      <c r="N165" s="960">
        <v>0.11</v>
      </c>
      <c r="O165" s="960"/>
      <c r="P165" s="960"/>
      <c r="Q165" s="960">
        <v>0.02</v>
      </c>
      <c r="R165" s="960"/>
      <c r="S165" s="960"/>
      <c r="T165" s="983">
        <v>3.7199999999999997E-2</v>
      </c>
      <c r="U165" s="983"/>
      <c r="V165" s="983"/>
      <c r="W165" s="983">
        <v>7.8399999999999997E-2</v>
      </c>
      <c r="X165" s="983"/>
      <c r="Y165" s="983"/>
      <c r="Z165" s="983">
        <v>0.13170000000000001</v>
      </c>
      <c r="AA165" s="983"/>
      <c r="AB165" s="983"/>
      <c r="AC165" s="983">
        <v>0.1691</v>
      </c>
      <c r="AD165" s="983"/>
      <c r="AE165" s="983"/>
      <c r="AF165" s="50"/>
    </row>
    <row r="166" spans="2:32" ht="26.85" customHeight="1" x14ac:dyDescent="0.25">
      <c r="B166" s="180" t="s">
        <v>162</v>
      </c>
      <c r="C166" s="180"/>
      <c r="D166" s="180" t="s">
        <v>31</v>
      </c>
      <c r="E166" s="180"/>
      <c r="F166" s="949">
        <v>0</v>
      </c>
      <c r="G166" s="949"/>
      <c r="H166" s="949"/>
      <c r="I166" s="949"/>
      <c r="J166" s="937">
        <v>0</v>
      </c>
      <c r="K166" s="937"/>
      <c r="L166" s="937"/>
      <c r="M166" s="937"/>
      <c r="N166" s="960">
        <v>0</v>
      </c>
      <c r="O166" s="960"/>
      <c r="P166" s="960"/>
      <c r="Q166" s="960">
        <v>0.45</v>
      </c>
      <c r="R166" s="960"/>
      <c r="S166" s="960"/>
      <c r="T166" s="983">
        <v>0.49170000000000003</v>
      </c>
      <c r="U166" s="983"/>
      <c r="V166" s="983"/>
      <c r="W166" s="983">
        <v>0.47839999999999999</v>
      </c>
      <c r="X166" s="983"/>
      <c r="Y166" s="983"/>
      <c r="Z166" s="983">
        <v>0.50890000000000002</v>
      </c>
      <c r="AA166" s="983"/>
      <c r="AB166" s="983"/>
      <c r="AC166" s="983">
        <v>0.48920000000000002</v>
      </c>
      <c r="AD166" s="983"/>
      <c r="AE166" s="983"/>
      <c r="AF166" s="50"/>
    </row>
    <row r="167" spans="2:32" ht="26.85" customHeight="1" x14ac:dyDescent="0.25">
      <c r="B167" s="180" t="s">
        <v>163</v>
      </c>
      <c r="C167" s="180"/>
      <c r="D167" s="180" t="s">
        <v>31</v>
      </c>
      <c r="E167" s="180"/>
      <c r="F167" s="949">
        <v>0</v>
      </c>
      <c r="G167" s="949"/>
      <c r="H167" s="949"/>
      <c r="I167" s="949"/>
      <c r="J167" s="937">
        <v>0</v>
      </c>
      <c r="K167" s="937"/>
      <c r="L167" s="937"/>
      <c r="M167" s="937"/>
      <c r="N167" s="960">
        <v>0</v>
      </c>
      <c r="O167" s="960"/>
      <c r="P167" s="960"/>
      <c r="Q167" s="960">
        <v>0.22</v>
      </c>
      <c r="R167" s="960"/>
      <c r="S167" s="960"/>
      <c r="T167" s="983">
        <v>0.23549999999999999</v>
      </c>
      <c r="U167" s="983"/>
      <c r="V167" s="983"/>
      <c r="W167" s="983">
        <v>0.23139999999999999</v>
      </c>
      <c r="X167" s="983"/>
      <c r="Y167" s="983"/>
      <c r="Z167" s="983">
        <v>0.26690000000000003</v>
      </c>
      <c r="AA167" s="983"/>
      <c r="AB167" s="983"/>
      <c r="AC167" s="983">
        <v>0.25180000000000002</v>
      </c>
      <c r="AD167" s="983"/>
      <c r="AE167" s="983"/>
      <c r="AF167" s="50"/>
    </row>
    <row r="168" spans="2:32" ht="50.1" customHeight="1" x14ac:dyDescent="0.2">
      <c r="B168" s="180"/>
      <c r="C168" s="180"/>
      <c r="D168" s="180"/>
      <c r="E168" s="180"/>
      <c r="F168" s="452"/>
      <c r="G168" s="452"/>
      <c r="H168" s="452"/>
      <c r="I168" s="262"/>
      <c r="J168" s="739"/>
      <c r="K168" s="739"/>
      <c r="L168" s="739"/>
      <c r="M168" s="653"/>
      <c r="N168" s="185"/>
      <c r="O168" s="185"/>
      <c r="P168" s="185"/>
      <c r="Q168" s="185"/>
      <c r="R168" s="185"/>
      <c r="S168" s="185"/>
      <c r="T168" s="185"/>
      <c r="U168" s="185"/>
      <c r="V168" s="185"/>
      <c r="W168" s="207"/>
      <c r="X168" s="207"/>
      <c r="Y168" s="207"/>
      <c r="Z168" s="207"/>
      <c r="AA168" s="207"/>
      <c r="AB168" s="207"/>
      <c r="AC168" s="207"/>
      <c r="AD168" s="207"/>
      <c r="AE168" s="207"/>
      <c r="AF168" s="50"/>
    </row>
    <row r="169" spans="2:32" ht="26.85" customHeight="1" x14ac:dyDescent="0.2">
      <c r="B169" s="6" t="s">
        <v>101</v>
      </c>
      <c r="C169" s="6"/>
      <c r="D169" s="7" t="s">
        <v>9</v>
      </c>
      <c r="E169" s="7"/>
      <c r="F169" s="930" t="s">
        <v>10</v>
      </c>
      <c r="G169" s="930"/>
      <c r="H169" s="930"/>
      <c r="I169" s="930"/>
      <c r="J169" s="980" t="s">
        <v>11</v>
      </c>
      <c r="K169" s="980"/>
      <c r="L169" s="980"/>
      <c r="M169" s="980"/>
      <c r="N169" s="981" t="s">
        <v>12</v>
      </c>
      <c r="O169" s="981"/>
      <c r="P169" s="981"/>
      <c r="Q169" s="981" t="s">
        <v>13</v>
      </c>
      <c r="R169" s="981"/>
      <c r="S169" s="981"/>
      <c r="T169" s="981" t="s">
        <v>14</v>
      </c>
      <c r="U169" s="981"/>
      <c r="V169" s="981"/>
      <c r="W169" s="981" t="s">
        <v>15</v>
      </c>
      <c r="X169" s="981"/>
      <c r="Y169" s="981"/>
      <c r="Z169" s="981" t="s">
        <v>16</v>
      </c>
      <c r="AA169" s="981"/>
      <c r="AB169" s="981"/>
      <c r="AC169" s="981" t="s">
        <v>17</v>
      </c>
      <c r="AD169" s="981"/>
      <c r="AE169" s="981"/>
      <c r="AF169" s="50"/>
    </row>
    <row r="170" spans="2:32" ht="26.85" customHeight="1" x14ac:dyDescent="0.25">
      <c r="B170" s="286" t="s">
        <v>147</v>
      </c>
      <c r="C170" s="286"/>
      <c r="D170" s="180" t="s">
        <v>25</v>
      </c>
      <c r="E170" s="180"/>
      <c r="F170" s="950">
        <v>1</v>
      </c>
      <c r="G170" s="950"/>
      <c r="H170" s="950"/>
      <c r="I170" s="950"/>
      <c r="J170" s="939">
        <v>6</v>
      </c>
      <c r="K170" s="939"/>
      <c r="L170" s="939"/>
      <c r="M170" s="939"/>
      <c r="N170" s="984">
        <v>0</v>
      </c>
      <c r="O170" s="984"/>
      <c r="P170" s="984"/>
      <c r="Q170" s="984">
        <v>6</v>
      </c>
      <c r="R170" s="984"/>
      <c r="S170" s="984"/>
      <c r="T170" s="984">
        <v>10</v>
      </c>
      <c r="U170" s="984"/>
      <c r="V170" s="984"/>
      <c r="W170" s="984">
        <v>56</v>
      </c>
      <c r="X170" s="984"/>
      <c r="Y170" s="984"/>
      <c r="Z170" s="984">
        <v>2</v>
      </c>
      <c r="AA170" s="984"/>
      <c r="AB170" s="984"/>
      <c r="AC170" s="984">
        <v>7</v>
      </c>
      <c r="AD170" s="984"/>
      <c r="AE170" s="984"/>
      <c r="AF170" s="50"/>
    </row>
    <row r="171" spans="2:32" ht="26.85" customHeight="1" x14ac:dyDescent="0.25">
      <c r="B171" s="239" t="s">
        <v>164</v>
      </c>
      <c r="C171" s="228"/>
      <c r="D171" s="180" t="s">
        <v>31</v>
      </c>
      <c r="E171" s="180"/>
      <c r="F171" s="948">
        <v>0.1216</v>
      </c>
      <c r="G171" s="948"/>
      <c r="H171" s="948"/>
      <c r="I171" s="948"/>
      <c r="J171" s="924">
        <v>3.8800000000000001E-2</v>
      </c>
      <c r="K171" s="924"/>
      <c r="L171" s="924"/>
      <c r="M171" s="924"/>
      <c r="N171" s="983">
        <v>0.11799999999999999</v>
      </c>
      <c r="O171" s="983"/>
      <c r="P171" s="983"/>
      <c r="Q171" s="983">
        <v>5.3199999999999997E-2</v>
      </c>
      <c r="R171" s="983"/>
      <c r="S171" s="983"/>
      <c r="T171" s="983">
        <v>3.5400000000000001E-2</v>
      </c>
      <c r="U171" s="983"/>
      <c r="V171" s="983"/>
      <c r="W171" s="983">
        <v>2.4E-2</v>
      </c>
      <c r="X171" s="983"/>
      <c r="Y171" s="983"/>
      <c r="Z171" s="960">
        <v>3.0099999999999998E-2</v>
      </c>
      <c r="AA171" s="960"/>
      <c r="AB171" s="960"/>
      <c r="AC171" s="960">
        <v>0</v>
      </c>
      <c r="AD171" s="960"/>
      <c r="AE171" s="960"/>
      <c r="AF171" s="50"/>
    </row>
    <row r="172" spans="2:32" ht="50.1" customHeight="1" x14ac:dyDescent="0.2">
      <c r="B172" s="229"/>
      <c r="C172" s="229"/>
      <c r="D172" s="190"/>
      <c r="E172" s="190"/>
      <c r="F172" s="452"/>
      <c r="G172" s="452"/>
      <c r="H172" s="452"/>
      <c r="I172" s="262"/>
      <c r="J172" s="739"/>
      <c r="K172" s="739"/>
      <c r="L172" s="739"/>
      <c r="M172" s="653"/>
      <c r="N172" s="185"/>
      <c r="O172" s="185"/>
      <c r="P172" s="185"/>
      <c r="Q172" s="185"/>
      <c r="R172" s="185"/>
      <c r="S172" s="185"/>
      <c r="T172" s="185"/>
      <c r="U172" s="185"/>
      <c r="V172" s="185"/>
      <c r="W172" s="207"/>
      <c r="X172" s="207"/>
      <c r="Y172" s="207"/>
      <c r="Z172" s="207"/>
      <c r="AA172" s="207"/>
      <c r="AB172" s="207"/>
      <c r="AC172" s="207"/>
      <c r="AD172" s="207"/>
      <c r="AE172" s="207"/>
      <c r="AF172" s="50"/>
    </row>
    <row r="173" spans="2:32" ht="26.85" customHeight="1" x14ac:dyDescent="0.2">
      <c r="B173" s="6" t="s">
        <v>165</v>
      </c>
      <c r="C173" s="6"/>
      <c r="D173" s="7" t="s">
        <v>9</v>
      </c>
      <c r="E173" s="7"/>
      <c r="F173" s="930" t="s">
        <v>10</v>
      </c>
      <c r="G173" s="930"/>
      <c r="H173" s="930"/>
      <c r="I173" s="930"/>
      <c r="J173" s="980" t="s">
        <v>11</v>
      </c>
      <c r="K173" s="980"/>
      <c r="L173" s="980"/>
      <c r="M173" s="980"/>
      <c r="N173" s="981" t="s">
        <v>12</v>
      </c>
      <c r="O173" s="981"/>
      <c r="P173" s="981"/>
      <c r="Q173" s="981" t="s">
        <v>13</v>
      </c>
      <c r="R173" s="981"/>
      <c r="S173" s="981"/>
      <c r="T173" s="981" t="s">
        <v>14</v>
      </c>
      <c r="U173" s="981"/>
      <c r="V173" s="981"/>
      <c r="W173" s="981" t="s">
        <v>15</v>
      </c>
      <c r="X173" s="981"/>
      <c r="Y173" s="981"/>
      <c r="Z173" s="981" t="s">
        <v>16</v>
      </c>
      <c r="AA173" s="981"/>
      <c r="AB173" s="981"/>
      <c r="AC173" s="981" t="s">
        <v>17</v>
      </c>
      <c r="AD173" s="981"/>
      <c r="AE173" s="981"/>
      <c r="AF173" s="50"/>
    </row>
    <row r="174" spans="2:32" ht="26.85" customHeight="1" x14ac:dyDescent="0.25">
      <c r="B174" s="255" t="s">
        <v>166</v>
      </c>
      <c r="C174" s="255"/>
      <c r="D174" s="286" t="s">
        <v>25</v>
      </c>
      <c r="E174" s="286"/>
      <c r="F174" s="950">
        <v>0</v>
      </c>
      <c r="G174" s="950"/>
      <c r="H174" s="950"/>
      <c r="I174" s="950"/>
      <c r="J174" s="939">
        <v>0</v>
      </c>
      <c r="K174" s="939" t="s">
        <v>23</v>
      </c>
      <c r="L174" s="939"/>
      <c r="M174" s="939"/>
      <c r="N174" s="918" t="s">
        <v>23</v>
      </c>
      <c r="O174" s="918"/>
      <c r="P174" s="918"/>
      <c r="Q174" s="918" t="s">
        <v>23</v>
      </c>
      <c r="R174" s="918"/>
      <c r="S174" s="918"/>
      <c r="T174" s="918" t="s">
        <v>23</v>
      </c>
      <c r="U174" s="918"/>
      <c r="V174" s="918"/>
      <c r="W174" s="918" t="s">
        <v>23</v>
      </c>
      <c r="X174" s="918"/>
      <c r="Y174" s="918"/>
      <c r="Z174" s="918" t="s">
        <v>23</v>
      </c>
      <c r="AA174" s="918"/>
      <c r="AB174" s="918"/>
      <c r="AC174" s="918" t="s">
        <v>23</v>
      </c>
      <c r="AD174" s="918"/>
      <c r="AE174" s="918"/>
      <c r="AF174" s="50"/>
    </row>
    <row r="175" spans="2:32" ht="50.1" customHeight="1" x14ac:dyDescent="0.2">
      <c r="B175" s="221"/>
      <c r="C175" s="221"/>
      <c r="D175" s="221"/>
      <c r="E175" s="221"/>
      <c r="F175" s="262"/>
      <c r="G175" s="262"/>
      <c r="H175" s="262"/>
      <c r="I175" s="262"/>
      <c r="J175" s="653"/>
      <c r="K175" s="653"/>
      <c r="L175" s="653"/>
      <c r="M175" s="653"/>
      <c r="N175" s="185"/>
      <c r="O175" s="207"/>
      <c r="P175" s="207"/>
      <c r="Q175" s="207"/>
      <c r="R175" s="207"/>
      <c r="S175" s="207"/>
      <c r="T175" s="207"/>
      <c r="U175" s="207"/>
      <c r="V175" s="207"/>
      <c r="W175" s="207"/>
      <c r="X175" s="207"/>
      <c r="Y175" s="207"/>
      <c r="Z175" s="207"/>
      <c r="AA175" s="207"/>
      <c r="AB175" s="207"/>
      <c r="AC175" s="207"/>
      <c r="AD175" s="207"/>
      <c r="AE175" s="207"/>
      <c r="AF175" s="50"/>
    </row>
    <row r="176" spans="2:32" ht="26.85" customHeight="1" x14ac:dyDescent="0.2">
      <c r="B176" s="6" t="s">
        <v>167</v>
      </c>
      <c r="C176" s="6"/>
      <c r="D176" s="7" t="s">
        <v>9</v>
      </c>
      <c r="E176" s="7"/>
      <c r="F176" s="930" t="s">
        <v>10</v>
      </c>
      <c r="G176" s="930"/>
      <c r="H176" s="930"/>
      <c r="I176" s="930"/>
      <c r="J176" s="980" t="s">
        <v>11</v>
      </c>
      <c r="K176" s="980"/>
      <c r="L176" s="980"/>
      <c r="M176" s="980"/>
      <c r="N176" s="981" t="s">
        <v>12</v>
      </c>
      <c r="O176" s="981"/>
      <c r="P176" s="981"/>
      <c r="Q176" s="981" t="s">
        <v>13</v>
      </c>
      <c r="R176" s="981"/>
      <c r="S176" s="981"/>
      <c r="T176" s="981" t="s">
        <v>14</v>
      </c>
      <c r="U176" s="981"/>
      <c r="V176" s="981"/>
      <c r="W176" s="981" t="s">
        <v>15</v>
      </c>
      <c r="X176" s="981"/>
      <c r="Y176" s="981"/>
      <c r="Z176" s="981" t="s">
        <v>16</v>
      </c>
      <c r="AA176" s="981"/>
      <c r="AB176" s="981"/>
      <c r="AC176" s="981" t="s">
        <v>17</v>
      </c>
      <c r="AD176" s="981"/>
      <c r="AE176" s="981"/>
      <c r="AF176" s="50"/>
    </row>
    <row r="177" spans="2:32" ht="26.85" customHeight="1" x14ac:dyDescent="0.25">
      <c r="B177" s="255" t="s">
        <v>168</v>
      </c>
      <c r="C177" s="255"/>
      <c r="D177" s="286" t="s">
        <v>25</v>
      </c>
      <c r="E177" s="286"/>
      <c r="F177" s="950">
        <v>0</v>
      </c>
      <c r="G177" s="950"/>
      <c r="H177" s="950"/>
      <c r="I177" s="950"/>
      <c r="J177" s="939">
        <v>0</v>
      </c>
      <c r="K177" s="939" t="s">
        <v>23</v>
      </c>
      <c r="L177" s="939"/>
      <c r="M177" s="939"/>
      <c r="N177" s="918" t="s">
        <v>23</v>
      </c>
      <c r="O177" s="918"/>
      <c r="P177" s="918"/>
      <c r="Q177" s="918" t="s">
        <v>23</v>
      </c>
      <c r="R177" s="918"/>
      <c r="S177" s="918"/>
      <c r="T177" s="918" t="s">
        <v>23</v>
      </c>
      <c r="U177" s="918"/>
      <c r="V177" s="918"/>
      <c r="W177" s="918" t="s">
        <v>23</v>
      </c>
      <c r="X177" s="918"/>
      <c r="Y177" s="918"/>
      <c r="Z177" s="918" t="s">
        <v>23</v>
      </c>
      <c r="AA177" s="918"/>
      <c r="AB177" s="918"/>
      <c r="AC177" s="918" t="s">
        <v>23</v>
      </c>
      <c r="AD177" s="918"/>
      <c r="AE177" s="918"/>
      <c r="AF177" s="50"/>
    </row>
    <row r="178" spans="2:32" ht="50.1" customHeight="1" x14ac:dyDescent="0.2">
      <c r="B178" s="28"/>
      <c r="C178" s="28"/>
      <c r="D178" s="15"/>
      <c r="E178" s="15"/>
      <c r="F178" s="270"/>
      <c r="G178" s="270"/>
      <c r="H178" s="270"/>
      <c r="I178" s="271"/>
      <c r="J178" s="740"/>
      <c r="K178" s="740"/>
      <c r="L178" s="740"/>
      <c r="M178" s="741"/>
      <c r="N178" s="34"/>
      <c r="O178" s="34"/>
      <c r="P178" s="34"/>
      <c r="Q178" s="34"/>
      <c r="R178" s="12"/>
      <c r="S178" s="12"/>
      <c r="T178" s="12"/>
      <c r="AA178" s="12"/>
      <c r="AD178" s="12"/>
      <c r="AE178" s="12"/>
      <c r="AF178" s="50"/>
    </row>
    <row r="179" spans="2:32" ht="26.85" customHeight="1" x14ac:dyDescent="0.2">
      <c r="B179" s="6" t="s">
        <v>169</v>
      </c>
      <c r="C179" s="6"/>
      <c r="D179" s="7" t="s">
        <v>9</v>
      </c>
      <c r="E179" s="5"/>
      <c r="F179" s="930" t="s">
        <v>10</v>
      </c>
      <c r="G179" s="930"/>
      <c r="H179" s="930"/>
      <c r="I179" s="930"/>
      <c r="J179" s="930" t="s">
        <v>11</v>
      </c>
      <c r="K179" s="930"/>
      <c r="L179" s="930"/>
      <c r="M179" s="930"/>
      <c r="N179" s="920" t="s">
        <v>12</v>
      </c>
      <c r="O179" s="920"/>
      <c r="P179" s="920"/>
      <c r="Q179" s="920" t="s">
        <v>13</v>
      </c>
      <c r="R179" s="920"/>
      <c r="S179" s="920"/>
      <c r="T179" s="920" t="s">
        <v>14</v>
      </c>
      <c r="U179" s="920"/>
      <c r="V179" s="920"/>
      <c r="W179" s="920" t="s">
        <v>15</v>
      </c>
      <c r="X179" s="920"/>
      <c r="Y179" s="920"/>
      <c r="Z179" s="920" t="s">
        <v>16</v>
      </c>
      <c r="AA179" s="920"/>
      <c r="AB179" s="920"/>
      <c r="AC179" s="920" t="s">
        <v>17</v>
      </c>
      <c r="AD179" s="920"/>
      <c r="AE179" s="920"/>
      <c r="AF179" s="50"/>
    </row>
    <row r="180" spans="2:32" ht="26.85" customHeight="1" x14ac:dyDescent="0.25">
      <c r="B180" s="193" t="s">
        <v>170</v>
      </c>
      <c r="C180" s="193"/>
      <c r="D180" s="180" t="s">
        <v>25</v>
      </c>
      <c r="E180" s="180"/>
      <c r="F180" s="978">
        <v>15</v>
      </c>
      <c r="G180" s="978"/>
      <c r="H180" s="978"/>
      <c r="I180" s="978"/>
      <c r="J180" s="974">
        <v>20</v>
      </c>
      <c r="K180" s="974"/>
      <c r="L180" s="974"/>
      <c r="M180" s="974"/>
      <c r="N180" s="919">
        <v>24</v>
      </c>
      <c r="O180" s="919"/>
      <c r="P180" s="919"/>
      <c r="Q180" s="919" t="s">
        <v>23</v>
      </c>
      <c r="R180" s="919"/>
      <c r="S180" s="919"/>
      <c r="T180" s="919" t="s">
        <v>23</v>
      </c>
      <c r="U180" s="919"/>
      <c r="V180" s="919"/>
      <c r="W180" s="919" t="s">
        <v>23</v>
      </c>
      <c r="X180" s="919"/>
      <c r="Y180" s="919"/>
      <c r="Z180" s="919" t="s">
        <v>23</v>
      </c>
      <c r="AA180" s="919"/>
      <c r="AB180" s="919"/>
      <c r="AC180" s="919" t="s">
        <v>23</v>
      </c>
      <c r="AD180" s="919"/>
      <c r="AE180" s="919"/>
      <c r="AF180" s="50"/>
    </row>
    <row r="181" spans="2:32" ht="26.85" customHeight="1" x14ac:dyDescent="0.25">
      <c r="B181" s="193" t="s">
        <v>235</v>
      </c>
      <c r="C181" s="193"/>
      <c r="D181" s="180" t="s">
        <v>25</v>
      </c>
      <c r="E181" s="180"/>
      <c r="F181" s="978">
        <v>502</v>
      </c>
      <c r="G181" s="978"/>
      <c r="H181" s="978"/>
      <c r="I181" s="978"/>
      <c r="J181" s="974">
        <v>527</v>
      </c>
      <c r="K181" s="974"/>
      <c r="L181" s="974"/>
      <c r="M181" s="974"/>
      <c r="N181" s="919">
        <v>675</v>
      </c>
      <c r="O181" s="919"/>
      <c r="P181" s="919"/>
      <c r="Q181" s="919" t="s">
        <v>23</v>
      </c>
      <c r="R181" s="919"/>
      <c r="S181" s="919"/>
      <c r="T181" s="919" t="s">
        <v>23</v>
      </c>
      <c r="U181" s="919"/>
      <c r="V181" s="919"/>
      <c r="W181" s="919" t="s">
        <v>23</v>
      </c>
      <c r="X181" s="919"/>
      <c r="Y181" s="919"/>
      <c r="Z181" s="919" t="s">
        <v>23</v>
      </c>
      <c r="AA181" s="919"/>
      <c r="AB181" s="919"/>
      <c r="AC181" s="919" t="s">
        <v>23</v>
      </c>
      <c r="AD181" s="919"/>
      <c r="AE181" s="919"/>
      <c r="AF181" s="50"/>
    </row>
    <row r="182" spans="2:32" ht="26.85" customHeight="1" x14ac:dyDescent="0.25">
      <c r="B182" s="231" t="s">
        <v>172</v>
      </c>
      <c r="C182" s="193"/>
      <c r="D182" s="180" t="s">
        <v>25</v>
      </c>
      <c r="E182" s="180"/>
      <c r="F182" s="950">
        <f>SUM(F180:I181)</f>
        <v>517</v>
      </c>
      <c r="G182" s="950"/>
      <c r="H182" s="950"/>
      <c r="I182" s="950"/>
      <c r="J182" s="939">
        <f>SUM(J180:M181)</f>
        <v>547</v>
      </c>
      <c r="K182" s="939"/>
      <c r="L182" s="939"/>
      <c r="M182" s="939"/>
      <c r="N182" s="919">
        <v>699</v>
      </c>
      <c r="O182" s="919"/>
      <c r="P182" s="919"/>
      <c r="Q182" s="919" t="s">
        <v>23</v>
      </c>
      <c r="R182" s="919"/>
      <c r="S182" s="919"/>
      <c r="T182" s="919" t="s">
        <v>23</v>
      </c>
      <c r="U182" s="919"/>
      <c r="V182" s="919"/>
      <c r="W182" s="919" t="s">
        <v>23</v>
      </c>
      <c r="X182" s="919"/>
      <c r="Y182" s="919"/>
      <c r="Z182" s="919" t="s">
        <v>23</v>
      </c>
      <c r="AA182" s="919"/>
      <c r="AB182" s="919"/>
      <c r="AC182" s="919" t="s">
        <v>23</v>
      </c>
      <c r="AD182" s="919"/>
      <c r="AE182" s="919"/>
      <c r="AF182" s="50"/>
    </row>
    <row r="183" spans="2:32" ht="26.85" customHeight="1" x14ac:dyDescent="0.25">
      <c r="B183" s="193" t="s">
        <v>173</v>
      </c>
      <c r="C183" s="193"/>
      <c r="D183" s="180" t="s">
        <v>25</v>
      </c>
      <c r="E183" s="180"/>
      <c r="F183" s="978">
        <v>15</v>
      </c>
      <c r="G183" s="978"/>
      <c r="H183" s="978"/>
      <c r="I183" s="978"/>
      <c r="J183" s="974">
        <v>20</v>
      </c>
      <c r="K183" s="974"/>
      <c r="L183" s="974"/>
      <c r="M183" s="974"/>
      <c r="N183" s="919">
        <v>24</v>
      </c>
      <c r="O183" s="919"/>
      <c r="P183" s="919"/>
      <c r="Q183" s="919" t="s">
        <v>23</v>
      </c>
      <c r="R183" s="919"/>
      <c r="S183" s="919"/>
      <c r="T183" s="919" t="s">
        <v>23</v>
      </c>
      <c r="U183" s="919"/>
      <c r="V183" s="919"/>
      <c r="W183" s="919" t="s">
        <v>23</v>
      </c>
      <c r="X183" s="919"/>
      <c r="Y183" s="919"/>
      <c r="Z183" s="919" t="s">
        <v>23</v>
      </c>
      <c r="AA183" s="919"/>
      <c r="AB183" s="919"/>
      <c r="AC183" s="919" t="s">
        <v>23</v>
      </c>
      <c r="AD183" s="919"/>
      <c r="AE183" s="919"/>
      <c r="AF183" s="50"/>
    </row>
    <row r="184" spans="2:32" ht="26.85" customHeight="1" x14ac:dyDescent="0.25">
      <c r="B184" s="193" t="s">
        <v>174</v>
      </c>
      <c r="C184" s="193"/>
      <c r="D184" s="180" t="s">
        <v>25</v>
      </c>
      <c r="E184" s="180"/>
      <c r="F184" s="978" t="s">
        <v>219</v>
      </c>
      <c r="G184" s="978"/>
      <c r="H184" s="978"/>
      <c r="I184" s="978"/>
      <c r="J184" s="974" t="s">
        <v>219</v>
      </c>
      <c r="K184" s="974"/>
      <c r="L184" s="974"/>
      <c r="M184" s="974"/>
      <c r="N184" s="919" t="s">
        <v>219</v>
      </c>
      <c r="O184" s="919"/>
      <c r="P184" s="919"/>
      <c r="Q184" s="919" t="s">
        <v>23</v>
      </c>
      <c r="R184" s="919"/>
      <c r="S184" s="919"/>
      <c r="T184" s="919" t="s">
        <v>23</v>
      </c>
      <c r="U184" s="919"/>
      <c r="V184" s="919"/>
      <c r="W184" s="919" t="s">
        <v>23</v>
      </c>
      <c r="X184" s="919"/>
      <c r="Y184" s="919"/>
      <c r="Z184" s="919" t="s">
        <v>23</v>
      </c>
      <c r="AA184" s="919"/>
      <c r="AB184" s="919"/>
      <c r="AC184" s="919" t="s">
        <v>23</v>
      </c>
      <c r="AD184" s="919"/>
      <c r="AE184" s="919"/>
      <c r="AF184" s="50"/>
    </row>
    <row r="185" spans="2:32" ht="26.85" customHeight="1" x14ac:dyDescent="0.25">
      <c r="B185" s="231" t="s">
        <v>175</v>
      </c>
      <c r="C185" s="193"/>
      <c r="D185" s="180" t="s">
        <v>25</v>
      </c>
      <c r="E185" s="180"/>
      <c r="F185" s="950">
        <v>15</v>
      </c>
      <c r="G185" s="950"/>
      <c r="H185" s="950"/>
      <c r="I185" s="950"/>
      <c r="J185" s="939">
        <f>J183</f>
        <v>20</v>
      </c>
      <c r="K185" s="939"/>
      <c r="L185" s="939"/>
      <c r="M185" s="939"/>
      <c r="N185" s="919">
        <v>24</v>
      </c>
      <c r="O185" s="919"/>
      <c r="P185" s="919"/>
      <c r="Q185" s="919" t="s">
        <v>23</v>
      </c>
      <c r="R185" s="919"/>
      <c r="S185" s="919"/>
      <c r="T185" s="919" t="s">
        <v>23</v>
      </c>
      <c r="U185" s="919"/>
      <c r="V185" s="919"/>
      <c r="W185" s="919" t="s">
        <v>23</v>
      </c>
      <c r="X185" s="919"/>
      <c r="Y185" s="919"/>
      <c r="Z185" s="919" t="s">
        <v>23</v>
      </c>
      <c r="AA185" s="919"/>
      <c r="AB185" s="919"/>
      <c r="AC185" s="919" t="s">
        <v>23</v>
      </c>
      <c r="AD185" s="919"/>
      <c r="AE185" s="919"/>
      <c r="AF185" s="50"/>
    </row>
    <row r="186" spans="2:32" ht="15.75" x14ac:dyDescent="0.2">
      <c r="B186" s="28"/>
      <c r="C186" s="28"/>
      <c r="D186" s="15"/>
      <c r="E186" s="15"/>
      <c r="F186" s="506"/>
      <c r="G186" s="506"/>
      <c r="H186" s="506"/>
      <c r="I186" s="301"/>
      <c r="J186" s="742"/>
      <c r="K186" s="742"/>
      <c r="L186" s="742"/>
      <c r="M186" s="12"/>
      <c r="N186" s="34"/>
      <c r="O186" s="34"/>
      <c r="P186" s="34"/>
      <c r="Q186" s="34"/>
      <c r="R186" s="12"/>
      <c r="S186" s="12"/>
      <c r="T186" s="12"/>
      <c r="AA186" s="12"/>
      <c r="AD186" s="12"/>
      <c r="AE186" s="12"/>
      <c r="AF186" s="50"/>
    </row>
    <row r="187" spans="2:32" x14ac:dyDescent="0.2">
      <c r="B187" s="28"/>
      <c r="C187" s="28"/>
      <c r="U187" s="12"/>
      <c r="V187" s="12"/>
    </row>
    <row r="188" spans="2:32" ht="70.349999999999994" customHeight="1" x14ac:dyDescent="0.2">
      <c r="B188" s="985" t="s">
        <v>236</v>
      </c>
      <c r="C188" s="985"/>
      <c r="D188" s="985"/>
      <c r="E188" s="985"/>
      <c r="F188" s="985"/>
      <c r="G188" s="985"/>
      <c r="H188" s="985"/>
      <c r="I188" s="985"/>
      <c r="J188" s="985"/>
      <c r="K188" s="985"/>
      <c r="L188" s="985"/>
      <c r="M188" s="985"/>
      <c r="N188" s="985"/>
      <c r="O188" s="985"/>
      <c r="P188" s="985"/>
      <c r="Q188" s="630"/>
      <c r="R188" s="630"/>
      <c r="S188" s="630"/>
      <c r="T188" s="630"/>
      <c r="U188" s="630"/>
      <c r="V188" s="630"/>
      <c r="W188" s="630"/>
      <c r="X188" s="630"/>
      <c r="Y188" s="630"/>
      <c r="Z188" s="630"/>
      <c r="AA188" s="630"/>
      <c r="AB188" s="630"/>
      <c r="AC188" s="630"/>
      <c r="AD188" s="630"/>
      <c r="AE188" s="630"/>
    </row>
    <row r="189" spans="2:32" ht="14.25" x14ac:dyDescent="0.2">
      <c r="B189" s="627"/>
      <c r="C189" s="627"/>
      <c r="D189" s="627"/>
      <c r="E189" s="627"/>
      <c r="F189" s="628"/>
      <c r="G189" s="628"/>
      <c r="H189" s="628"/>
      <c r="I189" s="628"/>
      <c r="J189" s="628"/>
      <c r="K189" s="628"/>
      <c r="L189" s="628"/>
      <c r="M189" s="628"/>
      <c r="N189" s="629"/>
      <c r="O189" s="630"/>
      <c r="P189" s="630"/>
      <c r="Q189" s="630"/>
      <c r="R189" s="630"/>
      <c r="S189" s="630"/>
      <c r="T189" s="630"/>
      <c r="U189" s="630"/>
      <c r="V189" s="630"/>
      <c r="W189" s="630"/>
      <c r="X189" s="630"/>
      <c r="Y189" s="630"/>
      <c r="Z189" s="630"/>
      <c r="AA189" s="630"/>
      <c r="AB189" s="630"/>
      <c r="AC189" s="630"/>
      <c r="AD189" s="630"/>
      <c r="AE189" s="630"/>
    </row>
  </sheetData>
  <sheetProtection algorithmName="SHA-512" hashValue="T6FShN8dwiEibEiym4bA0Vh1hrvdb2v4dCv93Fn7OBG6VQiujpbVIbpJwvBLHkWJNzpyX7EkZPXiHpOY5Ut05g==" saltValue="HbH1J8xinfYBGgH8J6nYdA==" spinCount="100000" sheet="1" objects="1" scenarios="1"/>
  <mergeCells count="524">
    <mergeCell ref="F181:I181"/>
    <mergeCell ref="F182:I182"/>
    <mergeCell ref="F183:I183"/>
    <mergeCell ref="F184:I184"/>
    <mergeCell ref="F185:I185"/>
    <mergeCell ref="F169:I169"/>
    <mergeCell ref="F170:I170"/>
    <mergeCell ref="F171:I171"/>
    <mergeCell ref="F173:I173"/>
    <mergeCell ref="F174:I174"/>
    <mergeCell ref="F176:I176"/>
    <mergeCell ref="F177:I177"/>
    <mergeCell ref="F179:I179"/>
    <mergeCell ref="F180:I180"/>
    <mergeCell ref="F158:I158"/>
    <mergeCell ref="F159:I159"/>
    <mergeCell ref="F161:I161"/>
    <mergeCell ref="F162:I162"/>
    <mergeCell ref="F163:I163"/>
    <mergeCell ref="F164:I164"/>
    <mergeCell ref="F165:I165"/>
    <mergeCell ref="F166:I166"/>
    <mergeCell ref="F167:I167"/>
    <mergeCell ref="F85:I85"/>
    <mergeCell ref="F108:I108"/>
    <mergeCell ref="F126:I126"/>
    <mergeCell ref="F145:I145"/>
    <mergeCell ref="F153:I153"/>
    <mergeCell ref="F154:I154"/>
    <mergeCell ref="F155:I155"/>
    <mergeCell ref="F156:I156"/>
    <mergeCell ref="F157:I157"/>
    <mergeCell ref="F4:I4"/>
    <mergeCell ref="F5:I5"/>
    <mergeCell ref="F6:I6"/>
    <mergeCell ref="F9:I9"/>
    <mergeCell ref="F15:I15"/>
    <mergeCell ref="F42:I42"/>
    <mergeCell ref="F47:I47"/>
    <mergeCell ref="F68:I68"/>
    <mergeCell ref="F73:I73"/>
    <mergeCell ref="B188:P188"/>
    <mergeCell ref="B13:AE13"/>
    <mergeCell ref="J176:M176"/>
    <mergeCell ref="N176:P176"/>
    <mergeCell ref="Q176:S176"/>
    <mergeCell ref="T176:V176"/>
    <mergeCell ref="W176:Y176"/>
    <mergeCell ref="Z176:AB176"/>
    <mergeCell ref="AC176:AE176"/>
    <mergeCell ref="J173:M173"/>
    <mergeCell ref="N173:P173"/>
    <mergeCell ref="Q173:S173"/>
    <mergeCell ref="T173:V173"/>
    <mergeCell ref="W173:Y173"/>
    <mergeCell ref="Z173:AB173"/>
    <mergeCell ref="AC173:AE173"/>
    <mergeCell ref="J153:M153"/>
    <mergeCell ref="N153:P153"/>
    <mergeCell ref="Q153:S153"/>
    <mergeCell ref="T153:V153"/>
    <mergeCell ref="W153:Y153"/>
    <mergeCell ref="Z153:AB153"/>
    <mergeCell ref="AC153:AE153"/>
    <mergeCell ref="J161:M161"/>
    <mergeCell ref="N161:P161"/>
    <mergeCell ref="Z161:AB161"/>
    <mergeCell ref="AC161:AE161"/>
    <mergeCell ref="J157:M157"/>
    <mergeCell ref="N157:P157"/>
    <mergeCell ref="Q157:S157"/>
    <mergeCell ref="T157:V157"/>
    <mergeCell ref="W157:Y157"/>
    <mergeCell ref="Z157:AB157"/>
    <mergeCell ref="AC157:AE157"/>
    <mergeCell ref="J156:M156"/>
    <mergeCell ref="N156:P156"/>
    <mergeCell ref="Q156:S156"/>
    <mergeCell ref="T156:V156"/>
    <mergeCell ref="AC154:AE154"/>
    <mergeCell ref="N155:P155"/>
    <mergeCell ref="Q155:S155"/>
    <mergeCell ref="T155:V155"/>
    <mergeCell ref="J126:M126"/>
    <mergeCell ref="N126:P126"/>
    <mergeCell ref="Q126:S126"/>
    <mergeCell ref="T126:V126"/>
    <mergeCell ref="W126:Y126"/>
    <mergeCell ref="Z126:AB126"/>
    <mergeCell ref="AC126:AE126"/>
    <mergeCell ref="J145:M145"/>
    <mergeCell ref="N145:P145"/>
    <mergeCell ref="Q145:S145"/>
    <mergeCell ref="T145:V145"/>
    <mergeCell ref="W145:Y145"/>
    <mergeCell ref="Z145:AB145"/>
    <mergeCell ref="AC145:AE145"/>
    <mergeCell ref="W155:Y155"/>
    <mergeCell ref="Z155:AB155"/>
    <mergeCell ref="J85:M85"/>
    <mergeCell ref="N85:P85"/>
    <mergeCell ref="Q85:S85"/>
    <mergeCell ref="T85:V85"/>
    <mergeCell ref="W85:Y85"/>
    <mergeCell ref="Z85:AB85"/>
    <mergeCell ref="AC85:AE85"/>
    <mergeCell ref="J108:M108"/>
    <mergeCell ref="N108:P108"/>
    <mergeCell ref="Q108:S108"/>
    <mergeCell ref="T108:V108"/>
    <mergeCell ref="W108:Y108"/>
    <mergeCell ref="Z108:AB108"/>
    <mergeCell ref="AC108:AE108"/>
    <mergeCell ref="J68:M68"/>
    <mergeCell ref="N68:P68"/>
    <mergeCell ref="Q68:S68"/>
    <mergeCell ref="T68:V68"/>
    <mergeCell ref="W68:Y68"/>
    <mergeCell ref="Z68:AB68"/>
    <mergeCell ref="AC68:AE68"/>
    <mergeCell ref="J73:M73"/>
    <mergeCell ref="N73:P73"/>
    <mergeCell ref="Q73:S73"/>
    <mergeCell ref="T73:V73"/>
    <mergeCell ref="W73:Y73"/>
    <mergeCell ref="Z73:AB73"/>
    <mergeCell ref="AC73:AE73"/>
    <mergeCell ref="J15:M15"/>
    <mergeCell ref="N15:P15"/>
    <mergeCell ref="Q15:S15"/>
    <mergeCell ref="T15:V15"/>
    <mergeCell ref="W15:Y15"/>
    <mergeCell ref="Z15:AB15"/>
    <mergeCell ref="AC15:AE15"/>
    <mergeCell ref="J47:M47"/>
    <mergeCell ref="N47:P47"/>
    <mergeCell ref="Q47:S47"/>
    <mergeCell ref="T47:V47"/>
    <mergeCell ref="W47:Y47"/>
    <mergeCell ref="Z47:AB47"/>
    <mergeCell ref="AC47:AE47"/>
    <mergeCell ref="J42:M42"/>
    <mergeCell ref="N42:P42"/>
    <mergeCell ref="Q42:S42"/>
    <mergeCell ref="T42:V42"/>
    <mergeCell ref="W42:Y42"/>
    <mergeCell ref="Z42:AB42"/>
    <mergeCell ref="AC42:AE42"/>
    <mergeCell ref="AC169:AE169"/>
    <mergeCell ref="Z170:AB170"/>
    <mergeCell ref="AC170:AE170"/>
    <mergeCell ref="J171:M171"/>
    <mergeCell ref="N171:P171"/>
    <mergeCell ref="Q171:S171"/>
    <mergeCell ref="T171:V171"/>
    <mergeCell ref="W171:Y171"/>
    <mergeCell ref="Z171:AB171"/>
    <mergeCell ref="AC171:AE171"/>
    <mergeCell ref="J170:M170"/>
    <mergeCell ref="N170:P170"/>
    <mergeCell ref="Q170:S170"/>
    <mergeCell ref="T170:V170"/>
    <mergeCell ref="W170:Y170"/>
    <mergeCell ref="J167:M167"/>
    <mergeCell ref="N167:P167"/>
    <mergeCell ref="Q167:S167"/>
    <mergeCell ref="T167:V167"/>
    <mergeCell ref="W167:Y167"/>
    <mergeCell ref="J169:M169"/>
    <mergeCell ref="N169:P169"/>
    <mergeCell ref="Q169:S169"/>
    <mergeCell ref="T169:V169"/>
    <mergeCell ref="W169:Y169"/>
    <mergeCell ref="J166:M166"/>
    <mergeCell ref="N166:P166"/>
    <mergeCell ref="Q166:S166"/>
    <mergeCell ref="T166:V166"/>
    <mergeCell ref="W166:Y166"/>
    <mergeCell ref="Z166:AB166"/>
    <mergeCell ref="AC166:AE166"/>
    <mergeCell ref="J165:M165"/>
    <mergeCell ref="N165:P165"/>
    <mergeCell ref="Q165:S165"/>
    <mergeCell ref="T165:V165"/>
    <mergeCell ref="W165:Y165"/>
    <mergeCell ref="J164:M164"/>
    <mergeCell ref="N164:P164"/>
    <mergeCell ref="Q164:S164"/>
    <mergeCell ref="T164:V164"/>
    <mergeCell ref="W164:Y164"/>
    <mergeCell ref="Z164:AB164"/>
    <mergeCell ref="AC164:AE164"/>
    <mergeCell ref="J163:M163"/>
    <mergeCell ref="N163:P163"/>
    <mergeCell ref="Q163:S163"/>
    <mergeCell ref="T163:V163"/>
    <mergeCell ref="W163:Y163"/>
    <mergeCell ref="J162:M162"/>
    <mergeCell ref="N162:P162"/>
    <mergeCell ref="Q162:S162"/>
    <mergeCell ref="T162:V162"/>
    <mergeCell ref="W162:Y162"/>
    <mergeCell ref="Z162:AB162"/>
    <mergeCell ref="AC162:AE162"/>
    <mergeCell ref="W158:Y158"/>
    <mergeCell ref="Z158:AB158"/>
    <mergeCell ref="AC158:AE158"/>
    <mergeCell ref="J159:M159"/>
    <mergeCell ref="N159:P159"/>
    <mergeCell ref="Q159:S159"/>
    <mergeCell ref="T159:V159"/>
    <mergeCell ref="W159:Y159"/>
    <mergeCell ref="Z159:AB159"/>
    <mergeCell ref="AC159:AE159"/>
    <mergeCell ref="J158:M158"/>
    <mergeCell ref="N158:P158"/>
    <mergeCell ref="Q158:S158"/>
    <mergeCell ref="T158:V158"/>
    <mergeCell ref="Q161:S161"/>
    <mergeCell ref="T161:V161"/>
    <mergeCell ref="W161:Y161"/>
    <mergeCell ref="AC155:AE155"/>
    <mergeCell ref="W156:Y156"/>
    <mergeCell ref="Z156:AB156"/>
    <mergeCell ref="AC156:AE156"/>
    <mergeCell ref="W154:Y154"/>
    <mergeCell ref="Z154:AB154"/>
    <mergeCell ref="W185:Y185"/>
    <mergeCell ref="Z185:AB185"/>
    <mergeCell ref="AC185:AE185"/>
    <mergeCell ref="Z183:AB183"/>
    <mergeCell ref="AC183:AE183"/>
    <mergeCell ref="Z184:AB184"/>
    <mergeCell ref="AC184:AE184"/>
    <mergeCell ref="Z181:AB181"/>
    <mergeCell ref="AC181:AE181"/>
    <mergeCell ref="Z182:AB182"/>
    <mergeCell ref="AC182:AE182"/>
    <mergeCell ref="Z163:AB163"/>
    <mergeCell ref="AC163:AE163"/>
    <mergeCell ref="Z165:AB165"/>
    <mergeCell ref="AC165:AE165"/>
    <mergeCell ref="Z167:AB167"/>
    <mergeCell ref="AC167:AE167"/>
    <mergeCell ref="Z169:AB169"/>
    <mergeCell ref="J154:M154"/>
    <mergeCell ref="N154:P154"/>
    <mergeCell ref="Q154:S154"/>
    <mergeCell ref="T154:V154"/>
    <mergeCell ref="J185:M185"/>
    <mergeCell ref="N185:P185"/>
    <mergeCell ref="Q185:S185"/>
    <mergeCell ref="T185:V185"/>
    <mergeCell ref="W183:Y183"/>
    <mergeCell ref="J184:M184"/>
    <mergeCell ref="N184:P184"/>
    <mergeCell ref="Q184:S184"/>
    <mergeCell ref="T184:V184"/>
    <mergeCell ref="W184:Y184"/>
    <mergeCell ref="J183:M183"/>
    <mergeCell ref="N183:P183"/>
    <mergeCell ref="Q183:S183"/>
    <mergeCell ref="T183:V183"/>
    <mergeCell ref="W181:Y181"/>
    <mergeCell ref="J182:M182"/>
    <mergeCell ref="N182:P182"/>
    <mergeCell ref="Q182:S182"/>
    <mergeCell ref="T182:V182"/>
    <mergeCell ref="W182:Y182"/>
    <mergeCell ref="J181:M181"/>
    <mergeCell ref="N181:P181"/>
    <mergeCell ref="Q181:S181"/>
    <mergeCell ref="T181:V181"/>
    <mergeCell ref="Z179:AB179"/>
    <mergeCell ref="AC179:AE179"/>
    <mergeCell ref="J180:M180"/>
    <mergeCell ref="N180:P180"/>
    <mergeCell ref="Q180:S180"/>
    <mergeCell ref="T180:V180"/>
    <mergeCell ref="W180:Y180"/>
    <mergeCell ref="Z180:AB180"/>
    <mergeCell ref="AC180:AE180"/>
    <mergeCell ref="J179:M179"/>
    <mergeCell ref="N179:P179"/>
    <mergeCell ref="Q179:S179"/>
    <mergeCell ref="T179:V179"/>
    <mergeCell ref="W179:Y179"/>
    <mergeCell ref="J177:M177"/>
    <mergeCell ref="N177:P177"/>
    <mergeCell ref="Q177:S177"/>
    <mergeCell ref="T177:V177"/>
    <mergeCell ref="W177:Y177"/>
    <mergeCell ref="Z177:AB177"/>
    <mergeCell ref="AC177:AE177"/>
    <mergeCell ref="J174:M174"/>
    <mergeCell ref="N174:P174"/>
    <mergeCell ref="Q174:S174"/>
    <mergeCell ref="T174:V174"/>
    <mergeCell ref="W174:Y174"/>
    <mergeCell ref="Z174:AB174"/>
    <mergeCell ref="AC174:AE174"/>
    <mergeCell ref="T142:V142"/>
    <mergeCell ref="W142:Y142"/>
    <mergeCell ref="Z142:AB142"/>
    <mergeCell ref="AC142:AE142"/>
    <mergeCell ref="N141:P141"/>
    <mergeCell ref="Q141:S141"/>
    <mergeCell ref="T141:V141"/>
    <mergeCell ref="W141:Y141"/>
    <mergeCell ref="Z135:AB135"/>
    <mergeCell ref="AC135:AE135"/>
    <mergeCell ref="Z141:AB141"/>
    <mergeCell ref="AC141:AE141"/>
    <mergeCell ref="Z139:AB139"/>
    <mergeCell ref="AC139:AE139"/>
    <mergeCell ref="T140:V140"/>
    <mergeCell ref="W140:Y140"/>
    <mergeCell ref="Z140:AB140"/>
    <mergeCell ref="AC140:AE140"/>
    <mergeCell ref="T139:V139"/>
    <mergeCell ref="W139:Y139"/>
    <mergeCell ref="Z137:AB137"/>
    <mergeCell ref="AC137:AE137"/>
    <mergeCell ref="N138:P138"/>
    <mergeCell ref="Q138:S138"/>
    <mergeCell ref="T138:V138"/>
    <mergeCell ref="W138:Y138"/>
    <mergeCell ref="Z138:AB138"/>
    <mergeCell ref="AC138:AE138"/>
    <mergeCell ref="N137:P137"/>
    <mergeCell ref="Q137:S137"/>
    <mergeCell ref="T137:V137"/>
    <mergeCell ref="W137:Y137"/>
    <mergeCell ref="T134:V134"/>
    <mergeCell ref="W134:Y134"/>
    <mergeCell ref="Z134:AB134"/>
    <mergeCell ref="AC134:AE134"/>
    <mergeCell ref="AC136:AE136"/>
    <mergeCell ref="T133:V133"/>
    <mergeCell ref="W133:Y133"/>
    <mergeCell ref="N136:P136"/>
    <mergeCell ref="Q136:S136"/>
    <mergeCell ref="T136:V136"/>
    <mergeCell ref="W136:Y136"/>
    <mergeCell ref="Z136:AB136"/>
    <mergeCell ref="N135:P135"/>
    <mergeCell ref="Q135:S135"/>
    <mergeCell ref="T135:V135"/>
    <mergeCell ref="W135:Y135"/>
    <mergeCell ref="Z133:AB133"/>
    <mergeCell ref="N134:P134"/>
    <mergeCell ref="Q134:S134"/>
    <mergeCell ref="N133:P133"/>
    <mergeCell ref="Q133:S133"/>
    <mergeCell ref="AC133:AE133"/>
    <mergeCell ref="T128:V128"/>
    <mergeCell ref="W128:Y128"/>
    <mergeCell ref="Z128:AB128"/>
    <mergeCell ref="AC128:AE128"/>
    <mergeCell ref="N127:P127"/>
    <mergeCell ref="Q127:S127"/>
    <mergeCell ref="T127:V127"/>
    <mergeCell ref="W127:Y127"/>
    <mergeCell ref="N130:P130"/>
    <mergeCell ref="Q130:S130"/>
    <mergeCell ref="T130:V130"/>
    <mergeCell ref="W130:Y130"/>
    <mergeCell ref="Z130:AB130"/>
    <mergeCell ref="AC130:AE130"/>
    <mergeCell ref="N129:P129"/>
    <mergeCell ref="Q129:S129"/>
    <mergeCell ref="T129:V129"/>
    <mergeCell ref="W129:Y129"/>
    <mergeCell ref="Z129:AB129"/>
    <mergeCell ref="AC129:AE129"/>
    <mergeCell ref="Z127:AB127"/>
    <mergeCell ref="AC127:AE127"/>
    <mergeCell ref="N128:P128"/>
    <mergeCell ref="AC124:AE124"/>
    <mergeCell ref="N124:P124"/>
    <mergeCell ref="Q124:S124"/>
    <mergeCell ref="T124:V124"/>
    <mergeCell ref="W124:Y124"/>
    <mergeCell ref="Z122:AB122"/>
    <mergeCell ref="AC122:AE122"/>
    <mergeCell ref="N123:P123"/>
    <mergeCell ref="Q123:S123"/>
    <mergeCell ref="T123:V123"/>
    <mergeCell ref="W123:Y123"/>
    <mergeCell ref="Z123:AB123"/>
    <mergeCell ref="AC123:AE123"/>
    <mergeCell ref="N122:P122"/>
    <mergeCell ref="Q122:S122"/>
    <mergeCell ref="T122:V122"/>
    <mergeCell ref="W122:Y122"/>
    <mergeCell ref="Z124:AB124"/>
    <mergeCell ref="N116:P116"/>
    <mergeCell ref="AC120:AE120"/>
    <mergeCell ref="N121:P121"/>
    <mergeCell ref="Q121:S121"/>
    <mergeCell ref="T121:V121"/>
    <mergeCell ref="W121:Y121"/>
    <mergeCell ref="Z121:AB121"/>
    <mergeCell ref="AC121:AE121"/>
    <mergeCell ref="N120:P120"/>
    <mergeCell ref="Q120:S120"/>
    <mergeCell ref="T120:V120"/>
    <mergeCell ref="W120:Y120"/>
    <mergeCell ref="Z120:AB120"/>
    <mergeCell ref="AC112:AE112"/>
    <mergeCell ref="N115:P115"/>
    <mergeCell ref="Q115:S115"/>
    <mergeCell ref="T115:V115"/>
    <mergeCell ref="W115:Y115"/>
    <mergeCell ref="Z115:AB115"/>
    <mergeCell ref="AC115:AE115"/>
    <mergeCell ref="N112:P112"/>
    <mergeCell ref="Q112:S112"/>
    <mergeCell ref="T112:V112"/>
    <mergeCell ref="W112:Y112"/>
    <mergeCell ref="Z112:AB112"/>
    <mergeCell ref="N113:P113"/>
    <mergeCell ref="Q113:S113"/>
    <mergeCell ref="T113:V113"/>
    <mergeCell ref="W113:Y113"/>
    <mergeCell ref="Z113:AB113"/>
    <mergeCell ref="AC113:AE113"/>
    <mergeCell ref="AC114:AE114"/>
    <mergeCell ref="Z114:AB114"/>
    <mergeCell ref="W114:Y114"/>
    <mergeCell ref="T114:V114"/>
    <mergeCell ref="AC110:AE110"/>
    <mergeCell ref="N109:P109"/>
    <mergeCell ref="Q109:S109"/>
    <mergeCell ref="T109:V109"/>
    <mergeCell ref="W109:Y109"/>
    <mergeCell ref="N111:P111"/>
    <mergeCell ref="Q111:S111"/>
    <mergeCell ref="T111:V111"/>
    <mergeCell ref="W111:Y111"/>
    <mergeCell ref="Z111:AB111"/>
    <mergeCell ref="AC111:AE111"/>
    <mergeCell ref="Z109:AB109"/>
    <mergeCell ref="AC109:AE109"/>
    <mergeCell ref="N110:P110"/>
    <mergeCell ref="Q110:S110"/>
    <mergeCell ref="T110:V110"/>
    <mergeCell ref="J6:M6"/>
    <mergeCell ref="N6:P6"/>
    <mergeCell ref="Q6:S6"/>
    <mergeCell ref="T6:V6"/>
    <mergeCell ref="J9:M9"/>
    <mergeCell ref="AC9:AE9"/>
    <mergeCell ref="Q9:S9"/>
    <mergeCell ref="T9:V9"/>
    <mergeCell ref="W9:Y9"/>
    <mergeCell ref="Z9:AB9"/>
    <mergeCell ref="N9:P9"/>
    <mergeCell ref="B7:AE7"/>
    <mergeCell ref="W6:Y6"/>
    <mergeCell ref="Z6:AB6"/>
    <mergeCell ref="AC6:AE6"/>
    <mergeCell ref="W4:Y4"/>
    <mergeCell ref="Z4:AB4"/>
    <mergeCell ref="AC4:AE4"/>
    <mergeCell ref="J5:M5"/>
    <mergeCell ref="N5:P5"/>
    <mergeCell ref="Q5:S5"/>
    <mergeCell ref="T5:V5"/>
    <mergeCell ref="W5:Y5"/>
    <mergeCell ref="Z5:AB5"/>
    <mergeCell ref="AC5:AE5"/>
    <mergeCell ref="J4:M4"/>
    <mergeCell ref="N4:P4"/>
    <mergeCell ref="Q4:S4"/>
    <mergeCell ref="T4:V4"/>
    <mergeCell ref="N139:P139"/>
    <mergeCell ref="Q139:S139"/>
    <mergeCell ref="N140:P140"/>
    <mergeCell ref="Q140:S140"/>
    <mergeCell ref="N142:P142"/>
    <mergeCell ref="Q142:S142"/>
    <mergeCell ref="J155:M155"/>
    <mergeCell ref="B66:N66"/>
    <mergeCell ref="Z131:AB131"/>
    <mergeCell ref="Z132:AB132"/>
    <mergeCell ref="W110:Y110"/>
    <mergeCell ref="Z110:AB110"/>
    <mergeCell ref="T116:V116"/>
    <mergeCell ref="W116:Y116"/>
    <mergeCell ref="Z116:AB116"/>
    <mergeCell ref="N119:P119"/>
    <mergeCell ref="Q119:S119"/>
    <mergeCell ref="T119:V119"/>
    <mergeCell ref="W119:Y119"/>
    <mergeCell ref="Z119:AB119"/>
    <mergeCell ref="N118:P118"/>
    <mergeCell ref="Q118:S118"/>
    <mergeCell ref="T118:V118"/>
    <mergeCell ref="W118:Y118"/>
    <mergeCell ref="AC131:AE131"/>
    <mergeCell ref="AC132:AE132"/>
    <mergeCell ref="Q114:S114"/>
    <mergeCell ref="N114:P114"/>
    <mergeCell ref="N131:P131"/>
    <mergeCell ref="Q131:S131"/>
    <mergeCell ref="N132:P132"/>
    <mergeCell ref="Q132:S132"/>
    <mergeCell ref="T131:V131"/>
    <mergeCell ref="T132:V132"/>
    <mergeCell ref="W131:Y131"/>
    <mergeCell ref="W132:Y132"/>
    <mergeCell ref="Q128:S128"/>
    <mergeCell ref="AC116:AE116"/>
    <mergeCell ref="N117:P117"/>
    <mergeCell ref="Q117:S117"/>
    <mergeCell ref="T117:V117"/>
    <mergeCell ref="W117:Y117"/>
    <mergeCell ref="Z117:AB117"/>
    <mergeCell ref="AC117:AE117"/>
    <mergeCell ref="AC118:AE118"/>
    <mergeCell ref="AC119:AE119"/>
    <mergeCell ref="Z118:AB118"/>
    <mergeCell ref="Q116:S116"/>
  </mergeCells>
  <pageMargins left="0.7" right="0.7" top="0.75" bottom="0.75" header="0.3" footer="0.3"/>
  <pageSetup paperSize="9" scale="14" orientation="portrait" r:id="rId1"/>
  <headerFooter>
    <oddFooter>&amp;L_x000D_&amp;1#&amp;"Calibri"&amp;8&amp;K000000 Unclassified</oddFooter>
  </headerFooter>
  <ignoredErrors>
    <ignoredError sqref="V11 V17 V25 V75 V77:V79 J82:K82 V87:V88 V148 F82:G82"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5A1BC-E760-4F9C-865D-C04CF9E5AAE0}">
  <sheetPr codeName="Sheet11">
    <tabColor theme="9" tint="0.79998168889431442"/>
    <pageSetUpPr fitToPage="1"/>
  </sheetPr>
  <dimension ref="B1:QL139"/>
  <sheetViews>
    <sheetView showGridLines="0" topLeftCell="A2" zoomScale="70" zoomScaleNormal="70" workbookViewId="0">
      <selection activeCell="B2" sqref="B2:C2"/>
    </sheetView>
  </sheetViews>
  <sheetFormatPr defaultColWidth="8.5703125" defaultRowHeight="15" x14ac:dyDescent="0.2"/>
  <cols>
    <col min="1" max="1" width="4.42578125" style="37" customWidth="1"/>
    <col min="2" max="2" width="71" style="37" customWidth="1"/>
    <col min="3" max="3" width="18.42578125" style="37" customWidth="1"/>
    <col min="4" max="4" width="9" style="68" customWidth="1"/>
    <col min="5" max="5" width="15.42578125" style="68" customWidth="1"/>
    <col min="6" max="6" width="21.85546875" style="68" customWidth="1"/>
    <col min="7" max="11" width="21.5703125" style="68" customWidth="1"/>
    <col min="12" max="454" width="9.42578125" style="28" customWidth="1"/>
    <col min="455" max="16384" width="8.5703125" style="37"/>
  </cols>
  <sheetData>
    <row r="1" spans="2:454" ht="24.6" customHeight="1" x14ac:dyDescent="0.2"/>
    <row r="2" spans="2:454" ht="81" customHeight="1" x14ac:dyDescent="0.2">
      <c r="B2" s="916" t="s">
        <v>237</v>
      </c>
      <c r="C2" s="916"/>
      <c r="D2" s="337"/>
      <c r="E2" s="337"/>
      <c r="F2" s="337"/>
      <c r="G2" s="337"/>
      <c r="H2" s="337"/>
      <c r="I2" s="337"/>
      <c r="J2" s="337"/>
      <c r="K2" s="277"/>
    </row>
    <row r="3" spans="2:454" ht="25.5" customHeight="1" x14ac:dyDescent="0.2">
      <c r="B3" s="70"/>
      <c r="C3" s="70"/>
      <c r="D3" s="71"/>
      <c r="E3" s="71"/>
      <c r="F3" s="71"/>
      <c r="G3" s="71"/>
      <c r="H3" s="71"/>
      <c r="I3" s="71"/>
      <c r="J3" s="71"/>
      <c r="K3" s="71"/>
    </row>
    <row r="4" spans="2:454" ht="26.85" customHeight="1" x14ac:dyDescent="0.2">
      <c r="B4" s="6" t="s">
        <v>238</v>
      </c>
      <c r="C4" s="6"/>
      <c r="D4" s="7" t="s">
        <v>9</v>
      </c>
      <c r="E4" s="7"/>
      <c r="F4" s="8" t="s">
        <v>10</v>
      </c>
      <c r="G4" s="9" t="s">
        <v>11</v>
      </c>
      <c r="H4" s="9" t="s">
        <v>12</v>
      </c>
      <c r="I4" s="9" t="s">
        <v>13</v>
      </c>
      <c r="J4" s="9" t="s">
        <v>14</v>
      </c>
      <c r="K4" s="9" t="s">
        <v>15</v>
      </c>
    </row>
    <row r="5" spans="2:454" ht="26.85" customHeight="1" x14ac:dyDescent="0.25">
      <c r="B5" s="198" t="s">
        <v>239</v>
      </c>
      <c r="C5" s="198"/>
      <c r="D5" s="180"/>
      <c r="E5" s="180"/>
      <c r="F5" s="814"/>
      <c r="G5" s="217"/>
      <c r="H5" s="191"/>
      <c r="I5" s="191"/>
      <c r="J5" s="191"/>
      <c r="K5" s="191"/>
    </row>
    <row r="6" spans="2:454" ht="26.85" customHeight="1" x14ac:dyDescent="0.25">
      <c r="B6" s="345" t="s">
        <v>240</v>
      </c>
      <c r="C6" s="345"/>
      <c r="D6" s="193" t="s">
        <v>31</v>
      </c>
      <c r="E6" s="193"/>
      <c r="F6" s="457">
        <v>0.88400000000000001</v>
      </c>
      <c r="G6" s="824">
        <v>0.91</v>
      </c>
      <c r="H6" s="230">
        <v>0.89</v>
      </c>
      <c r="I6" s="230">
        <v>0.89</v>
      </c>
      <c r="J6" s="230">
        <v>0.77</v>
      </c>
      <c r="K6" s="899" t="s">
        <v>23</v>
      </c>
    </row>
    <row r="7" spans="2:454" ht="26.85" customHeight="1" x14ac:dyDescent="0.25">
      <c r="B7" s="350" t="s">
        <v>241</v>
      </c>
      <c r="C7" s="350"/>
      <c r="D7" s="193" t="s">
        <v>31</v>
      </c>
      <c r="E7" s="193"/>
      <c r="F7" s="770">
        <v>0.83599999999999997</v>
      </c>
      <c r="G7" s="831">
        <v>0.88600000000000001</v>
      </c>
      <c r="H7" s="208">
        <v>0.87490000000000001</v>
      </c>
      <c r="I7" s="230">
        <v>0.87</v>
      </c>
      <c r="J7" s="900">
        <v>0.89910000000000001</v>
      </c>
      <c r="K7" s="900">
        <v>0.85399999999999998</v>
      </c>
    </row>
    <row r="8" spans="2:454" ht="26.85" customHeight="1" x14ac:dyDescent="0.25">
      <c r="B8" s="345" t="s">
        <v>242</v>
      </c>
      <c r="C8" s="347"/>
      <c r="D8" s="193" t="s">
        <v>31</v>
      </c>
      <c r="E8" s="193"/>
      <c r="F8" s="810">
        <v>0.91</v>
      </c>
      <c r="G8" s="831">
        <v>0.91400000000000003</v>
      </c>
      <c r="H8" s="208">
        <v>0.91600000000000004</v>
      </c>
      <c r="I8" s="208">
        <v>0.92500000000000004</v>
      </c>
      <c r="J8" s="900">
        <v>0.90100000000000002</v>
      </c>
      <c r="K8" s="900" t="s">
        <v>23</v>
      </c>
    </row>
    <row r="9" spans="2:454" ht="26.85" customHeight="1" x14ac:dyDescent="0.25">
      <c r="B9" s="345" t="s">
        <v>243</v>
      </c>
      <c r="C9" s="344"/>
      <c r="D9" s="193" t="s">
        <v>31</v>
      </c>
      <c r="E9" s="193"/>
      <c r="F9" s="810">
        <v>0.79</v>
      </c>
      <c r="G9" s="824">
        <v>0.79</v>
      </c>
      <c r="H9" s="372" t="s">
        <v>23</v>
      </c>
      <c r="I9" s="899" t="s">
        <v>23</v>
      </c>
      <c r="J9" s="899" t="s">
        <v>23</v>
      </c>
      <c r="K9" s="899" t="s">
        <v>23</v>
      </c>
    </row>
    <row r="10" spans="2:454" ht="26.85" customHeight="1" x14ac:dyDescent="0.25">
      <c r="B10" s="345" t="s">
        <v>244</v>
      </c>
      <c r="C10" s="344"/>
      <c r="D10" s="193" t="s">
        <v>31</v>
      </c>
      <c r="E10" s="193"/>
      <c r="F10" s="810">
        <v>0.76</v>
      </c>
      <c r="G10" s="824">
        <v>0.78</v>
      </c>
      <c r="H10" s="372" t="s">
        <v>23</v>
      </c>
      <c r="I10" s="372" t="s">
        <v>23</v>
      </c>
      <c r="J10" s="372" t="s">
        <v>23</v>
      </c>
      <c r="K10" s="372" t="s">
        <v>23</v>
      </c>
    </row>
    <row r="11" spans="2:454" ht="26.85" customHeight="1" x14ac:dyDescent="0.25">
      <c r="B11" s="345" t="s">
        <v>245</v>
      </c>
      <c r="C11" s="345"/>
      <c r="D11" s="193" t="s">
        <v>25</v>
      </c>
      <c r="E11" s="193"/>
      <c r="F11" s="233">
        <v>147</v>
      </c>
      <c r="G11" s="433">
        <v>124</v>
      </c>
      <c r="H11" s="191">
        <v>131</v>
      </c>
      <c r="I11" s="191">
        <v>133</v>
      </c>
      <c r="J11" s="191">
        <v>175</v>
      </c>
      <c r="K11" s="191">
        <v>220</v>
      </c>
    </row>
    <row r="12" spans="2:454" ht="26.85" customHeight="1" x14ac:dyDescent="0.25">
      <c r="B12" s="345" t="s">
        <v>246</v>
      </c>
      <c r="C12" s="344"/>
      <c r="D12" s="193" t="s">
        <v>31</v>
      </c>
      <c r="E12" s="193"/>
      <c r="F12" s="810">
        <v>0.41</v>
      </c>
      <c r="G12" s="824">
        <v>0.52</v>
      </c>
      <c r="H12" s="372" t="s">
        <v>23</v>
      </c>
      <c r="I12" s="899" t="s">
        <v>23</v>
      </c>
      <c r="J12" s="899" t="s">
        <v>23</v>
      </c>
      <c r="K12" s="899" t="s">
        <v>23</v>
      </c>
    </row>
    <row r="13" spans="2:454" ht="26.85" customHeight="1" x14ac:dyDescent="0.25">
      <c r="B13" s="345" t="s">
        <v>247</v>
      </c>
      <c r="C13" s="344"/>
      <c r="D13" s="193" t="s">
        <v>248</v>
      </c>
      <c r="E13" s="193"/>
      <c r="F13" s="233">
        <v>278</v>
      </c>
      <c r="G13" s="433">
        <v>250</v>
      </c>
      <c r="H13" s="372" t="s">
        <v>23</v>
      </c>
      <c r="I13" s="899" t="s">
        <v>23</v>
      </c>
      <c r="J13" s="899" t="s">
        <v>23</v>
      </c>
      <c r="K13" s="899" t="s">
        <v>23</v>
      </c>
    </row>
    <row r="14" spans="2:454" ht="50.1" customHeight="1" x14ac:dyDescent="0.2">
      <c r="B14" s="47"/>
      <c r="C14" s="47"/>
      <c r="D14" s="19"/>
      <c r="E14" s="19"/>
      <c r="F14" s="19"/>
      <c r="G14" s="44"/>
      <c r="H14" s="283"/>
      <c r="I14" s="73"/>
      <c r="J14" s="73"/>
      <c r="K14" s="73"/>
    </row>
    <row r="15" spans="2:454" ht="26.1" customHeight="1" x14ac:dyDescent="0.2">
      <c r="B15" s="6" t="s">
        <v>249</v>
      </c>
      <c r="C15" s="6"/>
      <c r="D15" s="7" t="s">
        <v>9</v>
      </c>
      <c r="E15" s="7"/>
      <c r="F15" s="8" t="s">
        <v>10</v>
      </c>
      <c r="G15" s="9" t="s">
        <v>11</v>
      </c>
      <c r="H15" s="9" t="s">
        <v>12</v>
      </c>
      <c r="I15" s="9" t="s">
        <v>13</v>
      </c>
      <c r="J15" s="9" t="s">
        <v>14</v>
      </c>
      <c r="K15" s="9" t="s">
        <v>15</v>
      </c>
    </row>
    <row r="16" spans="2:454" s="632" customFormat="1" ht="26.85" customHeight="1" x14ac:dyDescent="0.25">
      <c r="B16" s="231" t="s">
        <v>250</v>
      </c>
      <c r="C16" s="231"/>
      <c r="D16" s="193" t="s">
        <v>25</v>
      </c>
      <c r="E16" s="180"/>
      <c r="F16" s="769">
        <v>5</v>
      </c>
      <c r="G16" s="217">
        <v>4</v>
      </c>
      <c r="H16" s="192">
        <v>5</v>
      </c>
      <c r="I16" s="191">
        <v>3</v>
      </c>
      <c r="J16" s="191">
        <v>4</v>
      </c>
      <c r="K16" s="372" t="s">
        <v>23</v>
      </c>
      <c r="L16" s="28"/>
      <c r="M16" s="28"/>
      <c r="N16" s="48"/>
      <c r="O16" s="659"/>
      <c r="P16" s="4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row>
    <row r="17" spans="2:11" ht="50.1" customHeight="1" x14ac:dyDescent="0.2">
      <c r="B17" s="47"/>
      <c r="C17" s="47"/>
      <c r="D17" s="19"/>
      <c r="E17" s="19"/>
      <c r="F17" s="19"/>
      <c r="G17" s="44"/>
      <c r="H17" s="283"/>
      <c r="I17" s="73"/>
      <c r="J17" s="73"/>
      <c r="K17" s="73"/>
    </row>
    <row r="18" spans="2:11" ht="26.85" customHeight="1" x14ac:dyDescent="0.2">
      <c r="B18" s="6" t="s">
        <v>251</v>
      </c>
      <c r="C18" s="6"/>
      <c r="D18" s="7" t="s">
        <v>9</v>
      </c>
      <c r="E18" s="7"/>
      <c r="F18" s="8" t="s">
        <v>10</v>
      </c>
      <c r="G18" s="9" t="s">
        <v>11</v>
      </c>
      <c r="H18" s="9" t="s">
        <v>12</v>
      </c>
      <c r="I18" s="9" t="s">
        <v>13</v>
      </c>
      <c r="J18" s="9" t="s">
        <v>14</v>
      </c>
      <c r="K18" s="9" t="s">
        <v>15</v>
      </c>
    </row>
    <row r="19" spans="2:11" ht="26.85" customHeight="1" x14ac:dyDescent="0.25">
      <c r="B19" s="231" t="s">
        <v>252</v>
      </c>
      <c r="C19" s="195"/>
      <c r="D19" s="193" t="s">
        <v>253</v>
      </c>
      <c r="E19" s="193"/>
      <c r="F19" s="233" t="s">
        <v>254</v>
      </c>
      <c r="G19" s="433" t="s">
        <v>254</v>
      </c>
      <c r="H19" s="191" t="s">
        <v>254</v>
      </c>
      <c r="I19" s="199" t="s">
        <v>254</v>
      </c>
      <c r="J19" s="372" t="s">
        <v>254</v>
      </c>
      <c r="K19" s="886" t="s">
        <v>23</v>
      </c>
    </row>
    <row r="20" spans="2:11" ht="26.85" customHeight="1" x14ac:dyDescent="0.25">
      <c r="B20" s="345" t="s">
        <v>255</v>
      </c>
      <c r="C20" s="345"/>
      <c r="D20" s="193" t="s">
        <v>25</v>
      </c>
      <c r="E20" s="193"/>
      <c r="F20" s="233">
        <v>81.400000000000006</v>
      </c>
      <c r="G20" s="433">
        <v>74.599999999999994</v>
      </c>
      <c r="H20" s="191">
        <v>83.6</v>
      </c>
      <c r="I20" s="191">
        <v>74.599999999999994</v>
      </c>
      <c r="J20" s="191">
        <v>73.400000000000006</v>
      </c>
      <c r="K20" s="886" t="s">
        <v>23</v>
      </c>
    </row>
    <row r="21" spans="2:11" ht="15.6" customHeight="1" x14ac:dyDescent="0.2">
      <c r="B21" s="13"/>
      <c r="C21" s="13"/>
      <c r="D21" s="19"/>
      <c r="E21" s="19"/>
      <c r="F21" s="19"/>
      <c r="G21" s="44"/>
      <c r="H21" s="12"/>
      <c r="I21" s="12"/>
      <c r="J21" s="12"/>
      <c r="K21" s="73"/>
    </row>
    <row r="22" spans="2:11" x14ac:dyDescent="0.2">
      <c r="B22" s="15"/>
      <c r="C22" s="15"/>
      <c r="D22" s="44"/>
      <c r="E22" s="44"/>
      <c r="F22" s="44"/>
      <c r="G22" s="44"/>
      <c r="H22" s="44"/>
      <c r="I22" s="44"/>
      <c r="J22" s="44"/>
      <c r="K22" s="44"/>
    </row>
    <row r="23" spans="2:11" ht="15.75" x14ac:dyDescent="0.2">
      <c r="B23" s="987"/>
      <c r="C23" s="987"/>
      <c r="D23" s="987"/>
      <c r="E23" s="987"/>
      <c r="F23" s="987"/>
      <c r="G23" s="987"/>
      <c r="H23" s="987"/>
      <c r="I23" s="987"/>
      <c r="J23" s="987"/>
      <c r="K23" s="987"/>
    </row>
    <row r="25" spans="2:11" s="28" customFormat="1" x14ac:dyDescent="0.2">
      <c r="D25" s="44"/>
      <c r="E25" s="44"/>
      <c r="F25" s="44"/>
      <c r="G25" s="44"/>
      <c r="H25" s="44"/>
      <c r="I25" s="44"/>
      <c r="J25" s="44"/>
      <c r="K25" s="44"/>
    </row>
    <row r="26" spans="2:11" s="28" customFormat="1" x14ac:dyDescent="0.2">
      <c r="D26" s="44"/>
      <c r="E26" s="44"/>
      <c r="F26" s="44"/>
      <c r="G26" s="44"/>
      <c r="H26" s="44"/>
      <c r="I26" s="44"/>
      <c r="J26" s="44"/>
      <c r="K26" s="44"/>
    </row>
    <row r="27" spans="2:11" s="28" customFormat="1" x14ac:dyDescent="0.2">
      <c r="D27" s="44"/>
      <c r="E27" s="44"/>
      <c r="F27" s="44"/>
      <c r="G27" s="44"/>
      <c r="H27" s="44"/>
      <c r="I27" s="44"/>
      <c r="J27" s="44"/>
      <c r="K27" s="44"/>
    </row>
    <row r="28" spans="2:11" s="28" customFormat="1" x14ac:dyDescent="0.2">
      <c r="D28" s="44"/>
      <c r="E28" s="44"/>
      <c r="F28" s="44"/>
      <c r="G28" s="44"/>
      <c r="H28" s="44"/>
      <c r="I28" s="44"/>
      <c r="J28" s="44"/>
      <c r="K28" s="44"/>
    </row>
    <row r="29" spans="2:11" s="28" customFormat="1" x14ac:dyDescent="0.2">
      <c r="D29" s="44"/>
      <c r="E29" s="44"/>
      <c r="F29" s="44"/>
      <c r="G29" s="44"/>
      <c r="H29" s="38"/>
      <c r="I29" s="12"/>
      <c r="J29" s="12"/>
      <c r="K29" s="73"/>
    </row>
    <row r="30" spans="2:11" s="28" customFormat="1" x14ac:dyDescent="0.2">
      <c r="D30" s="44"/>
      <c r="E30" s="44"/>
      <c r="F30" s="44"/>
      <c r="G30" s="44"/>
      <c r="H30" s="75"/>
      <c r="I30" s="12"/>
      <c r="J30" s="76"/>
      <c r="K30" s="73"/>
    </row>
    <row r="31" spans="2:11" s="28" customFormat="1" x14ac:dyDescent="0.2">
      <c r="D31" s="44"/>
      <c r="E31" s="44"/>
      <c r="F31" s="44"/>
      <c r="G31" s="44"/>
      <c r="H31" s="75"/>
      <c r="I31" s="12"/>
      <c r="J31" s="73"/>
      <c r="K31" s="73"/>
    </row>
    <row r="32" spans="2:11" s="28" customFormat="1" x14ac:dyDescent="0.2">
      <c r="D32" s="44"/>
      <c r="E32" s="44"/>
      <c r="F32" s="44"/>
      <c r="G32" s="44"/>
      <c r="H32" s="44"/>
      <c r="I32" s="44"/>
      <c r="J32" s="44"/>
      <c r="K32" s="44"/>
    </row>
    <row r="33" spans="4:11" s="28" customFormat="1" x14ac:dyDescent="0.2">
      <c r="D33" s="44"/>
      <c r="E33" s="44"/>
      <c r="F33" s="44"/>
      <c r="G33" s="44"/>
      <c r="H33" s="44"/>
      <c r="I33" s="44"/>
      <c r="J33" s="44"/>
      <c r="K33" s="44"/>
    </row>
    <row r="34" spans="4:11" s="28" customFormat="1" x14ac:dyDescent="0.2">
      <c r="D34" s="44"/>
      <c r="E34" s="44"/>
      <c r="F34" s="44"/>
      <c r="G34" s="44"/>
      <c r="H34" s="44"/>
      <c r="I34" s="44"/>
      <c r="J34" s="44"/>
      <c r="K34" s="44"/>
    </row>
    <row r="35" spans="4:11" s="28" customFormat="1" x14ac:dyDescent="0.2">
      <c r="D35" s="44"/>
      <c r="E35" s="44"/>
      <c r="F35" s="44"/>
      <c r="G35" s="44"/>
      <c r="H35" s="44"/>
      <c r="I35" s="44"/>
      <c r="J35" s="44"/>
      <c r="K35" s="44"/>
    </row>
    <row r="36" spans="4:11" s="28" customFormat="1" x14ac:dyDescent="0.2">
      <c r="D36" s="44"/>
      <c r="E36" s="44"/>
      <c r="F36" s="44"/>
      <c r="G36" s="44"/>
      <c r="H36" s="44"/>
      <c r="I36" s="44"/>
      <c r="J36" s="44"/>
      <c r="K36" s="44"/>
    </row>
    <row r="37" spans="4:11" s="28" customFormat="1" x14ac:dyDescent="0.2">
      <c r="D37" s="44"/>
      <c r="E37" s="44"/>
      <c r="F37" s="44"/>
      <c r="G37" s="44"/>
      <c r="H37" s="44"/>
      <c r="I37" s="44"/>
      <c r="J37" s="44"/>
      <c r="K37" s="44"/>
    </row>
    <row r="38" spans="4:11" s="28" customFormat="1" x14ac:dyDescent="0.2">
      <c r="D38" s="44"/>
      <c r="E38" s="44"/>
      <c r="F38" s="44"/>
      <c r="G38" s="44"/>
      <c r="H38" s="44"/>
      <c r="I38" s="44"/>
      <c r="J38" s="44"/>
      <c r="K38" s="44"/>
    </row>
    <row r="39" spans="4:11" s="28" customFormat="1" x14ac:dyDescent="0.2">
      <c r="D39" s="44"/>
      <c r="E39" s="44"/>
      <c r="F39" s="44"/>
      <c r="G39" s="44"/>
      <c r="H39" s="44"/>
      <c r="I39" s="44"/>
      <c r="J39" s="44"/>
      <c r="K39" s="44"/>
    </row>
    <row r="40" spans="4:11" s="28" customFormat="1" x14ac:dyDescent="0.2">
      <c r="D40" s="44"/>
      <c r="E40" s="44"/>
      <c r="F40" s="44"/>
      <c r="G40" s="44"/>
      <c r="H40" s="44"/>
      <c r="I40" s="44"/>
      <c r="J40" s="44"/>
      <c r="K40" s="44"/>
    </row>
    <row r="41" spans="4:11" s="28" customFormat="1" x14ac:dyDescent="0.2">
      <c r="D41" s="44"/>
      <c r="E41" s="44"/>
      <c r="F41" s="44"/>
      <c r="G41" s="44"/>
      <c r="H41" s="44"/>
      <c r="I41" s="44"/>
      <c r="J41" s="44"/>
      <c r="K41" s="44"/>
    </row>
    <row r="42" spans="4:11" s="28" customFormat="1" x14ac:dyDescent="0.2">
      <c r="D42" s="44"/>
      <c r="E42" s="44"/>
      <c r="F42" s="44"/>
      <c r="G42" s="44"/>
      <c r="H42" s="44"/>
      <c r="I42" s="44"/>
      <c r="J42" s="44"/>
      <c r="K42" s="44"/>
    </row>
    <row r="43" spans="4:11" s="28" customFormat="1" x14ac:dyDescent="0.2">
      <c r="D43" s="44"/>
      <c r="E43" s="44"/>
      <c r="F43" s="44"/>
      <c r="G43" s="44"/>
      <c r="H43" s="44"/>
      <c r="I43" s="44"/>
      <c r="J43" s="44"/>
      <c r="K43" s="44"/>
    </row>
    <row r="44" spans="4:11" s="28" customFormat="1" x14ac:dyDescent="0.2">
      <c r="D44" s="44"/>
      <c r="E44" s="44"/>
      <c r="F44" s="44"/>
      <c r="G44" s="44"/>
      <c r="H44" s="44"/>
      <c r="I44" s="44"/>
      <c r="J44" s="44"/>
      <c r="K44" s="44"/>
    </row>
    <row r="45" spans="4:11" s="28" customFormat="1" x14ac:dyDescent="0.2">
      <c r="D45" s="44"/>
      <c r="E45" s="44"/>
      <c r="F45" s="44"/>
      <c r="G45" s="44"/>
      <c r="H45" s="44"/>
      <c r="I45" s="44"/>
      <c r="J45" s="44"/>
      <c r="K45" s="44"/>
    </row>
    <row r="46" spans="4:11" s="28" customFormat="1" x14ac:dyDescent="0.2">
      <c r="D46" s="44"/>
      <c r="E46" s="44"/>
      <c r="F46" s="44"/>
      <c r="G46" s="44"/>
      <c r="H46" s="44"/>
      <c r="I46" s="44"/>
      <c r="J46" s="44"/>
      <c r="K46" s="44"/>
    </row>
    <row r="47" spans="4:11" s="28" customFormat="1" x14ac:dyDescent="0.2">
      <c r="D47" s="44"/>
      <c r="E47" s="44"/>
      <c r="F47" s="44"/>
      <c r="G47" s="44"/>
      <c r="H47" s="44"/>
      <c r="I47" s="44"/>
      <c r="J47" s="44"/>
      <c r="K47" s="44"/>
    </row>
    <row r="48" spans="4:11" s="28" customFormat="1" x14ac:dyDescent="0.2">
      <c r="D48" s="44"/>
      <c r="E48" s="44"/>
      <c r="F48" s="44"/>
      <c r="G48" s="44"/>
      <c r="H48" s="44"/>
      <c r="I48" s="44"/>
      <c r="J48" s="44"/>
      <c r="K48" s="44"/>
    </row>
    <row r="49" spans="4:11" s="28" customFormat="1" x14ac:dyDescent="0.2">
      <c r="D49" s="44"/>
      <c r="E49" s="44"/>
      <c r="F49" s="44"/>
      <c r="G49" s="44"/>
      <c r="H49" s="44"/>
      <c r="I49" s="44"/>
      <c r="J49" s="44"/>
      <c r="K49" s="44"/>
    </row>
    <row r="50" spans="4:11" s="28" customFormat="1" x14ac:dyDescent="0.2">
      <c r="D50" s="44"/>
      <c r="E50" s="44"/>
      <c r="F50" s="44"/>
      <c r="G50" s="44"/>
      <c r="H50" s="44"/>
      <c r="I50" s="44"/>
      <c r="J50" s="44"/>
      <c r="K50" s="44"/>
    </row>
    <row r="51" spans="4:11" s="28" customFormat="1" x14ac:dyDescent="0.2">
      <c r="D51" s="44"/>
      <c r="E51" s="44"/>
      <c r="F51" s="44"/>
      <c r="G51" s="44"/>
      <c r="H51" s="44"/>
      <c r="I51" s="44"/>
      <c r="J51" s="44"/>
      <c r="K51" s="44"/>
    </row>
    <row r="52" spans="4:11" s="28" customFormat="1" x14ac:dyDescent="0.2">
      <c r="D52" s="44"/>
      <c r="E52" s="44"/>
      <c r="F52" s="44"/>
      <c r="G52" s="44"/>
      <c r="H52" s="44"/>
      <c r="I52" s="44"/>
      <c r="J52" s="44"/>
      <c r="K52" s="44"/>
    </row>
    <row r="53" spans="4:11" s="28" customFormat="1" x14ac:dyDescent="0.2">
      <c r="D53" s="44"/>
      <c r="E53" s="44"/>
      <c r="F53" s="44"/>
      <c r="G53" s="44"/>
      <c r="H53" s="44"/>
      <c r="I53" s="44"/>
      <c r="J53" s="44"/>
      <c r="K53" s="44"/>
    </row>
    <row r="54" spans="4:11" s="28" customFormat="1" x14ac:dyDescent="0.2">
      <c r="D54" s="44"/>
      <c r="E54" s="44"/>
      <c r="F54" s="44"/>
      <c r="G54" s="44"/>
      <c r="H54" s="44"/>
      <c r="I54" s="44"/>
      <c r="J54" s="44"/>
      <c r="K54" s="44"/>
    </row>
    <row r="55" spans="4:11" s="28" customFormat="1" x14ac:dyDescent="0.2">
      <c r="D55" s="44"/>
      <c r="E55" s="44"/>
      <c r="F55" s="44"/>
      <c r="G55" s="44"/>
      <c r="H55" s="44"/>
      <c r="I55" s="44"/>
      <c r="J55" s="44"/>
      <c r="K55" s="44"/>
    </row>
    <row r="56" spans="4:11" s="28" customFormat="1" x14ac:dyDescent="0.2">
      <c r="D56" s="44"/>
      <c r="E56" s="44"/>
      <c r="F56" s="44"/>
      <c r="G56" s="44"/>
      <c r="H56" s="44"/>
      <c r="I56" s="44"/>
      <c r="J56" s="44"/>
      <c r="K56" s="44"/>
    </row>
    <row r="57" spans="4:11" s="28" customFormat="1" x14ac:dyDescent="0.2">
      <c r="D57" s="44"/>
      <c r="E57" s="44"/>
      <c r="F57" s="44"/>
      <c r="G57" s="44"/>
      <c r="H57" s="44"/>
      <c r="I57" s="44"/>
      <c r="J57" s="44"/>
      <c r="K57" s="44"/>
    </row>
    <row r="58" spans="4:11" s="28" customFormat="1" x14ac:dyDescent="0.2">
      <c r="D58" s="44"/>
      <c r="E58" s="44"/>
      <c r="F58" s="44"/>
      <c r="G58" s="44"/>
      <c r="H58" s="44"/>
      <c r="I58" s="44"/>
      <c r="J58" s="44"/>
      <c r="K58" s="44"/>
    </row>
    <row r="59" spans="4:11" s="28" customFormat="1" x14ac:dyDescent="0.2">
      <c r="D59" s="44"/>
      <c r="E59" s="44"/>
      <c r="F59" s="44"/>
      <c r="G59" s="44"/>
      <c r="H59" s="44"/>
      <c r="I59" s="44"/>
      <c r="J59" s="44"/>
      <c r="K59" s="44"/>
    </row>
    <row r="60" spans="4:11" s="28" customFormat="1" x14ac:dyDescent="0.2">
      <c r="D60" s="44"/>
      <c r="E60" s="44"/>
      <c r="F60" s="44"/>
      <c r="G60" s="44"/>
      <c r="H60" s="44"/>
      <c r="I60" s="44"/>
      <c r="J60" s="44"/>
      <c r="K60" s="44"/>
    </row>
    <row r="61" spans="4:11" s="28" customFormat="1" x14ac:dyDescent="0.2">
      <c r="D61" s="44"/>
      <c r="E61" s="44"/>
      <c r="F61" s="44"/>
      <c r="G61" s="44"/>
      <c r="H61" s="44"/>
      <c r="I61" s="44"/>
      <c r="J61" s="44"/>
      <c r="K61" s="44"/>
    </row>
    <row r="62" spans="4:11" s="28" customFormat="1" x14ac:dyDescent="0.2">
      <c r="D62" s="44"/>
      <c r="E62" s="44"/>
      <c r="F62" s="44"/>
      <c r="G62" s="44"/>
      <c r="H62" s="44"/>
      <c r="I62" s="44"/>
      <c r="J62" s="44"/>
      <c r="K62" s="44"/>
    </row>
    <row r="63" spans="4:11" s="28" customFormat="1" x14ac:dyDescent="0.2">
      <c r="D63" s="44"/>
      <c r="E63" s="44"/>
      <c r="F63" s="44"/>
      <c r="G63" s="44"/>
      <c r="H63" s="44"/>
      <c r="I63" s="44"/>
      <c r="J63" s="44"/>
      <c r="K63" s="44"/>
    </row>
    <row r="64" spans="4:11" s="28" customFormat="1" x14ac:dyDescent="0.2">
      <c r="D64" s="44"/>
      <c r="E64" s="44"/>
      <c r="F64" s="44"/>
      <c r="G64" s="44"/>
      <c r="H64" s="44"/>
      <c r="I64" s="44"/>
      <c r="J64" s="44"/>
      <c r="K64" s="44"/>
    </row>
    <row r="65" spans="4:11" s="28" customFormat="1" x14ac:dyDescent="0.2">
      <c r="D65" s="44"/>
      <c r="E65" s="44"/>
      <c r="F65" s="44"/>
      <c r="G65" s="44"/>
      <c r="H65" s="44"/>
      <c r="I65" s="44"/>
      <c r="J65" s="44"/>
      <c r="K65" s="44"/>
    </row>
    <row r="66" spans="4:11" s="28" customFormat="1" x14ac:dyDescent="0.2">
      <c r="D66" s="44"/>
      <c r="E66" s="44"/>
      <c r="F66" s="44"/>
      <c r="G66" s="44"/>
      <c r="H66" s="44"/>
      <c r="I66" s="44"/>
      <c r="J66" s="44"/>
      <c r="K66" s="44"/>
    </row>
    <row r="67" spans="4:11" s="28" customFormat="1" x14ac:dyDescent="0.2">
      <c r="D67" s="44"/>
      <c r="E67" s="44"/>
      <c r="F67" s="44"/>
      <c r="G67" s="44"/>
      <c r="H67" s="44"/>
      <c r="I67" s="44"/>
      <c r="J67" s="44"/>
      <c r="K67" s="44"/>
    </row>
    <row r="68" spans="4:11" s="28" customFormat="1" x14ac:dyDescent="0.2">
      <c r="D68" s="44"/>
      <c r="E68" s="44"/>
      <c r="F68" s="44"/>
      <c r="G68" s="44"/>
      <c r="H68" s="44"/>
      <c r="I68" s="44"/>
      <c r="J68" s="44"/>
      <c r="K68" s="44"/>
    </row>
    <row r="69" spans="4:11" s="28" customFormat="1" x14ac:dyDescent="0.2">
      <c r="D69" s="44"/>
      <c r="E69" s="44"/>
      <c r="F69" s="44"/>
      <c r="G69" s="44"/>
      <c r="H69" s="44"/>
      <c r="I69" s="44"/>
      <c r="J69" s="44"/>
      <c r="K69" s="44"/>
    </row>
    <row r="70" spans="4:11" s="28" customFormat="1" x14ac:dyDescent="0.2">
      <c r="D70" s="44"/>
      <c r="E70" s="44"/>
      <c r="F70" s="44"/>
      <c r="G70" s="44"/>
      <c r="H70" s="44"/>
      <c r="I70" s="44"/>
      <c r="J70" s="44"/>
      <c r="K70" s="44"/>
    </row>
    <row r="71" spans="4:11" s="28" customFormat="1" x14ac:dyDescent="0.2">
      <c r="D71" s="44"/>
      <c r="E71" s="44"/>
      <c r="F71" s="44"/>
      <c r="G71" s="44"/>
      <c r="H71" s="44"/>
      <c r="I71" s="44"/>
      <c r="J71" s="44"/>
      <c r="K71" s="44"/>
    </row>
    <row r="72" spans="4:11" s="28" customFormat="1" x14ac:dyDescent="0.2">
      <c r="D72" s="44"/>
      <c r="E72" s="44"/>
      <c r="F72" s="44"/>
      <c r="G72" s="44"/>
      <c r="H72" s="44"/>
      <c r="I72" s="44"/>
      <c r="J72" s="44"/>
      <c r="K72" s="44"/>
    </row>
    <row r="73" spans="4:11" s="28" customFormat="1" x14ac:dyDescent="0.2">
      <c r="D73" s="44"/>
      <c r="E73" s="44"/>
      <c r="F73" s="44"/>
      <c r="G73" s="44"/>
      <c r="H73" s="44"/>
      <c r="I73" s="44"/>
      <c r="J73" s="44"/>
      <c r="K73" s="44"/>
    </row>
    <row r="74" spans="4:11" s="28" customFormat="1" x14ac:dyDescent="0.2">
      <c r="D74" s="44"/>
      <c r="E74" s="44"/>
      <c r="F74" s="44"/>
      <c r="G74" s="44"/>
      <c r="H74" s="44"/>
      <c r="I74" s="44"/>
      <c r="J74" s="44"/>
      <c r="K74" s="44"/>
    </row>
    <row r="75" spans="4:11" s="28" customFormat="1" x14ac:dyDescent="0.2">
      <c r="D75" s="44"/>
      <c r="E75" s="44"/>
      <c r="F75" s="44"/>
      <c r="G75" s="44"/>
      <c r="H75" s="44"/>
      <c r="I75" s="44"/>
      <c r="J75" s="44"/>
      <c r="K75" s="44"/>
    </row>
    <row r="76" spans="4:11" s="28" customFormat="1" x14ac:dyDescent="0.2">
      <c r="D76" s="44"/>
      <c r="E76" s="44"/>
      <c r="F76" s="44"/>
      <c r="G76" s="44"/>
      <c r="H76" s="44"/>
      <c r="I76" s="44"/>
      <c r="J76" s="44"/>
      <c r="K76" s="44"/>
    </row>
    <row r="77" spans="4:11" s="28" customFormat="1" x14ac:dyDescent="0.2">
      <c r="D77" s="44"/>
      <c r="E77" s="44"/>
      <c r="F77" s="44"/>
      <c r="G77" s="44"/>
      <c r="H77" s="44"/>
      <c r="I77" s="44"/>
      <c r="J77" s="44"/>
      <c r="K77" s="44"/>
    </row>
    <row r="78" spans="4:11" s="28" customFormat="1" x14ac:dyDescent="0.2">
      <c r="D78" s="44"/>
      <c r="E78" s="44"/>
      <c r="F78" s="44"/>
      <c r="G78" s="44"/>
      <c r="H78" s="44"/>
      <c r="I78" s="44"/>
      <c r="J78" s="44"/>
      <c r="K78" s="44"/>
    </row>
    <row r="79" spans="4:11" s="28" customFormat="1" x14ac:dyDescent="0.2">
      <c r="D79" s="44"/>
      <c r="E79" s="44"/>
      <c r="F79" s="44"/>
      <c r="G79" s="44"/>
      <c r="H79" s="44"/>
      <c r="I79" s="44"/>
      <c r="J79" s="44"/>
      <c r="K79" s="44"/>
    </row>
    <row r="80" spans="4:11" s="28" customFormat="1" x14ac:dyDescent="0.2">
      <c r="D80" s="44"/>
      <c r="E80" s="44"/>
      <c r="F80" s="44"/>
      <c r="G80" s="44"/>
      <c r="H80" s="44"/>
      <c r="I80" s="44"/>
      <c r="J80" s="44"/>
      <c r="K80" s="44"/>
    </row>
    <row r="81" spans="4:11" s="28" customFormat="1" x14ac:dyDescent="0.2">
      <c r="D81" s="44"/>
      <c r="E81" s="44"/>
      <c r="F81" s="44"/>
      <c r="G81" s="44"/>
      <c r="H81" s="44"/>
      <c r="I81" s="44"/>
      <c r="J81" s="44"/>
      <c r="K81" s="44"/>
    </row>
    <row r="82" spans="4:11" s="28" customFormat="1" x14ac:dyDescent="0.2">
      <c r="D82" s="44"/>
      <c r="E82" s="44"/>
      <c r="F82" s="44"/>
      <c r="G82" s="44"/>
      <c r="H82" s="44"/>
      <c r="I82" s="44"/>
      <c r="J82" s="44"/>
      <c r="K82" s="44"/>
    </row>
    <row r="83" spans="4:11" s="28" customFormat="1" x14ac:dyDescent="0.2">
      <c r="D83" s="44"/>
      <c r="E83" s="44"/>
      <c r="F83" s="44"/>
      <c r="G83" s="44"/>
      <c r="H83" s="44"/>
      <c r="I83" s="44"/>
      <c r="J83" s="44"/>
      <c r="K83" s="44"/>
    </row>
    <row r="84" spans="4:11" s="28" customFormat="1" x14ac:dyDescent="0.2">
      <c r="D84" s="44"/>
      <c r="E84" s="44"/>
      <c r="F84" s="44"/>
      <c r="G84" s="44"/>
      <c r="H84" s="44"/>
      <c r="I84" s="44"/>
      <c r="J84" s="44"/>
      <c r="K84" s="44"/>
    </row>
    <row r="85" spans="4:11" s="28" customFormat="1" x14ac:dyDescent="0.2">
      <c r="D85" s="44"/>
      <c r="E85" s="44"/>
      <c r="F85" s="44"/>
      <c r="G85" s="44"/>
      <c r="H85" s="44"/>
      <c r="I85" s="44"/>
      <c r="J85" s="44"/>
      <c r="K85" s="44"/>
    </row>
    <row r="86" spans="4:11" s="28" customFormat="1" x14ac:dyDescent="0.2">
      <c r="D86" s="44"/>
      <c r="E86" s="44"/>
      <c r="F86" s="44"/>
      <c r="G86" s="44"/>
      <c r="H86" s="44"/>
      <c r="I86" s="44"/>
      <c r="J86" s="44"/>
      <c r="K86" s="44"/>
    </row>
    <row r="87" spans="4:11" s="28" customFormat="1" x14ac:dyDescent="0.2">
      <c r="D87" s="44"/>
      <c r="E87" s="44"/>
      <c r="F87" s="44"/>
      <c r="G87" s="44"/>
      <c r="H87" s="44"/>
      <c r="I87" s="44"/>
      <c r="J87" s="44"/>
      <c r="K87" s="44"/>
    </row>
    <row r="88" spans="4:11" s="28" customFormat="1" x14ac:dyDescent="0.2">
      <c r="D88" s="44"/>
      <c r="E88" s="44"/>
      <c r="F88" s="44"/>
      <c r="G88" s="44"/>
      <c r="H88" s="44"/>
      <c r="I88" s="44"/>
      <c r="J88" s="44"/>
      <c r="K88" s="44"/>
    </row>
    <row r="89" spans="4:11" s="28" customFormat="1" x14ac:dyDescent="0.2">
      <c r="D89" s="44"/>
      <c r="E89" s="44"/>
      <c r="F89" s="44"/>
      <c r="G89" s="44"/>
      <c r="H89" s="44"/>
      <c r="I89" s="44"/>
      <c r="J89" s="44"/>
      <c r="K89" s="44"/>
    </row>
    <row r="90" spans="4:11" s="28" customFormat="1" x14ac:dyDescent="0.2">
      <c r="D90" s="44"/>
      <c r="E90" s="44"/>
      <c r="F90" s="44"/>
      <c r="G90" s="44"/>
      <c r="H90" s="44"/>
      <c r="I90" s="44"/>
      <c r="J90" s="44"/>
      <c r="K90" s="44"/>
    </row>
    <row r="91" spans="4:11" s="28" customFormat="1" x14ac:dyDescent="0.2">
      <c r="D91" s="44"/>
      <c r="E91" s="44"/>
      <c r="F91" s="44"/>
      <c r="G91" s="44"/>
      <c r="H91" s="44"/>
      <c r="I91" s="44"/>
      <c r="J91" s="44"/>
      <c r="K91" s="44"/>
    </row>
    <row r="92" spans="4:11" s="28" customFormat="1" x14ac:dyDescent="0.2">
      <c r="D92" s="44"/>
      <c r="E92" s="44"/>
      <c r="F92" s="44"/>
      <c r="G92" s="44"/>
      <c r="H92" s="44"/>
      <c r="I92" s="44"/>
      <c r="J92" s="44"/>
      <c r="K92" s="44"/>
    </row>
    <row r="93" spans="4:11" s="28" customFormat="1" x14ac:dyDescent="0.2">
      <c r="D93" s="44"/>
      <c r="E93" s="44"/>
      <c r="F93" s="44"/>
      <c r="G93" s="44"/>
      <c r="H93" s="44"/>
      <c r="I93" s="44"/>
      <c r="J93" s="44"/>
      <c r="K93" s="44"/>
    </row>
    <row r="94" spans="4:11" s="28" customFormat="1" x14ac:dyDescent="0.2">
      <c r="D94" s="44"/>
      <c r="E94" s="44"/>
      <c r="F94" s="44"/>
      <c r="G94" s="44"/>
      <c r="H94" s="44"/>
      <c r="I94" s="44"/>
      <c r="J94" s="44"/>
      <c r="K94" s="44"/>
    </row>
    <row r="95" spans="4:11" s="28" customFormat="1" x14ac:dyDescent="0.2">
      <c r="D95" s="44"/>
      <c r="E95" s="44"/>
      <c r="F95" s="44"/>
      <c r="G95" s="44"/>
      <c r="H95" s="44"/>
      <c r="I95" s="44"/>
      <c r="J95" s="44"/>
      <c r="K95" s="44"/>
    </row>
    <row r="96" spans="4:11" s="28" customFormat="1" x14ac:dyDescent="0.2">
      <c r="D96" s="44"/>
      <c r="E96" s="44"/>
      <c r="F96" s="44"/>
      <c r="G96" s="44"/>
      <c r="H96" s="44"/>
      <c r="I96" s="44"/>
      <c r="J96" s="44"/>
      <c r="K96" s="44"/>
    </row>
    <row r="97" spans="4:11" s="28" customFormat="1" x14ac:dyDescent="0.2">
      <c r="D97" s="44"/>
      <c r="E97" s="44"/>
      <c r="F97" s="44"/>
      <c r="G97" s="44"/>
      <c r="H97" s="44"/>
      <c r="I97" s="44"/>
      <c r="J97" s="44"/>
      <c r="K97" s="44"/>
    </row>
    <row r="98" spans="4:11" s="28" customFormat="1" x14ac:dyDescent="0.2">
      <c r="D98" s="44"/>
      <c r="E98" s="44"/>
      <c r="F98" s="44"/>
      <c r="G98" s="44"/>
      <c r="H98" s="44"/>
      <c r="I98" s="44"/>
      <c r="J98" s="44"/>
      <c r="K98" s="44"/>
    </row>
    <row r="99" spans="4:11" s="28" customFormat="1" x14ac:dyDescent="0.2">
      <c r="D99" s="44"/>
      <c r="E99" s="44"/>
      <c r="F99" s="44"/>
      <c r="G99" s="44"/>
      <c r="H99" s="44"/>
      <c r="I99" s="44"/>
      <c r="J99" s="44"/>
      <c r="K99" s="44"/>
    </row>
    <row r="100" spans="4:11" s="28" customFormat="1" x14ac:dyDescent="0.2">
      <c r="D100" s="44"/>
      <c r="E100" s="44"/>
      <c r="F100" s="44"/>
      <c r="G100" s="44"/>
      <c r="H100" s="44"/>
      <c r="I100" s="44"/>
      <c r="J100" s="44"/>
      <c r="K100" s="44"/>
    </row>
    <row r="101" spans="4:11" s="28" customFormat="1" x14ac:dyDescent="0.2">
      <c r="D101" s="44"/>
      <c r="E101" s="44"/>
      <c r="F101" s="44"/>
      <c r="G101" s="44"/>
      <c r="H101" s="44"/>
      <c r="I101" s="44"/>
      <c r="J101" s="44"/>
      <c r="K101" s="44"/>
    </row>
    <row r="102" spans="4:11" s="28" customFormat="1" x14ac:dyDescent="0.2">
      <c r="D102" s="44"/>
      <c r="E102" s="44"/>
      <c r="F102" s="44"/>
      <c r="G102" s="44"/>
      <c r="H102" s="44"/>
      <c r="I102" s="44"/>
      <c r="J102" s="44"/>
      <c r="K102" s="44"/>
    </row>
    <row r="103" spans="4:11" s="28" customFormat="1" x14ac:dyDescent="0.2">
      <c r="D103" s="44"/>
      <c r="E103" s="44"/>
      <c r="F103" s="44"/>
      <c r="G103" s="44"/>
      <c r="H103" s="44"/>
      <c r="I103" s="44"/>
      <c r="J103" s="44"/>
      <c r="K103" s="44"/>
    </row>
    <row r="104" spans="4:11" s="28" customFormat="1" x14ac:dyDescent="0.2">
      <c r="D104" s="44"/>
      <c r="E104" s="44"/>
      <c r="F104" s="44"/>
      <c r="G104" s="44"/>
      <c r="H104" s="44"/>
      <c r="I104" s="44"/>
      <c r="J104" s="44"/>
      <c r="K104" s="44"/>
    </row>
    <row r="105" spans="4:11" s="28" customFormat="1" x14ac:dyDescent="0.2">
      <c r="D105" s="44"/>
      <c r="E105" s="44"/>
      <c r="F105" s="44"/>
      <c r="G105" s="44"/>
      <c r="H105" s="44"/>
      <c r="I105" s="44"/>
      <c r="J105" s="44"/>
      <c r="K105" s="44"/>
    </row>
    <row r="106" spans="4:11" s="28" customFormat="1" x14ac:dyDescent="0.2">
      <c r="D106" s="44"/>
      <c r="E106" s="44"/>
      <c r="F106" s="44"/>
      <c r="G106" s="44"/>
      <c r="H106" s="44"/>
      <c r="I106" s="44"/>
      <c r="J106" s="44"/>
      <c r="K106" s="44"/>
    </row>
    <row r="107" spans="4:11" s="28" customFormat="1" x14ac:dyDescent="0.2">
      <c r="D107" s="44"/>
      <c r="E107" s="44"/>
      <c r="F107" s="44"/>
      <c r="G107" s="44"/>
      <c r="H107" s="44"/>
      <c r="I107" s="44"/>
      <c r="J107" s="44"/>
      <c r="K107" s="44"/>
    </row>
    <row r="108" spans="4:11" s="28" customFormat="1" x14ac:dyDescent="0.2">
      <c r="D108" s="44"/>
      <c r="E108" s="44"/>
      <c r="F108" s="44"/>
      <c r="G108" s="44"/>
      <c r="H108" s="44"/>
      <c r="I108" s="44"/>
      <c r="J108" s="44"/>
      <c r="K108" s="44"/>
    </row>
    <row r="109" spans="4:11" s="28" customFormat="1" x14ac:dyDescent="0.2">
      <c r="D109" s="44"/>
      <c r="E109" s="44"/>
      <c r="F109" s="44"/>
      <c r="G109" s="44"/>
      <c r="H109" s="44"/>
      <c r="I109" s="44"/>
      <c r="J109" s="44"/>
      <c r="K109" s="44"/>
    </row>
    <row r="110" spans="4:11" s="28" customFormat="1" x14ac:dyDescent="0.2">
      <c r="D110" s="44"/>
      <c r="E110" s="44"/>
      <c r="F110" s="44"/>
      <c r="G110" s="44"/>
      <c r="H110" s="44"/>
      <c r="I110" s="44"/>
      <c r="J110" s="44"/>
      <c r="K110" s="44"/>
    </row>
    <row r="111" spans="4:11" s="28" customFormat="1" x14ac:dyDescent="0.2">
      <c r="D111" s="44"/>
      <c r="E111" s="44"/>
      <c r="F111" s="44"/>
      <c r="G111" s="44"/>
      <c r="H111" s="44"/>
      <c r="I111" s="44"/>
      <c r="J111" s="44"/>
      <c r="K111" s="44"/>
    </row>
    <row r="112" spans="4:11" s="28" customFormat="1" x14ac:dyDescent="0.2">
      <c r="D112" s="44"/>
      <c r="E112" s="44"/>
      <c r="F112" s="44"/>
      <c r="G112" s="44"/>
      <c r="H112" s="44"/>
      <c r="I112" s="44"/>
      <c r="J112" s="44"/>
      <c r="K112" s="44"/>
    </row>
    <row r="113" spans="4:11" s="28" customFormat="1" x14ac:dyDescent="0.2">
      <c r="D113" s="44"/>
      <c r="E113" s="44"/>
      <c r="F113" s="44"/>
      <c r="G113" s="44"/>
      <c r="H113" s="44"/>
      <c r="I113" s="44"/>
      <c r="J113" s="44"/>
      <c r="K113" s="44"/>
    </row>
    <row r="114" spans="4:11" s="28" customFormat="1" x14ac:dyDescent="0.2">
      <c r="D114" s="44"/>
      <c r="E114" s="44"/>
      <c r="F114" s="44"/>
      <c r="G114" s="44"/>
      <c r="H114" s="44"/>
      <c r="I114" s="44"/>
      <c r="J114" s="44"/>
      <c r="K114" s="44"/>
    </row>
    <row r="115" spans="4:11" s="28" customFormat="1" x14ac:dyDescent="0.2">
      <c r="D115" s="44"/>
      <c r="E115" s="44"/>
      <c r="F115" s="44"/>
      <c r="G115" s="44"/>
      <c r="H115" s="44"/>
      <c r="I115" s="44"/>
      <c r="J115" s="44"/>
      <c r="K115" s="44"/>
    </row>
    <row r="116" spans="4:11" s="28" customFormat="1" x14ac:dyDescent="0.2">
      <c r="D116" s="44"/>
      <c r="E116" s="44"/>
      <c r="F116" s="44"/>
      <c r="G116" s="44"/>
      <c r="H116" s="44"/>
      <c r="I116" s="44"/>
      <c r="J116" s="44"/>
      <c r="K116" s="44"/>
    </row>
    <row r="117" spans="4:11" s="28" customFormat="1" x14ac:dyDescent="0.2">
      <c r="D117" s="44"/>
      <c r="E117" s="44"/>
      <c r="F117" s="44"/>
      <c r="G117" s="44"/>
      <c r="H117" s="44"/>
      <c r="I117" s="44"/>
      <c r="J117" s="44"/>
      <c r="K117" s="44"/>
    </row>
    <row r="118" spans="4:11" s="28" customFormat="1" x14ac:dyDescent="0.2">
      <c r="D118" s="44"/>
      <c r="E118" s="44"/>
      <c r="F118" s="44"/>
      <c r="G118" s="44"/>
      <c r="H118" s="44"/>
      <c r="I118" s="44"/>
      <c r="J118" s="44"/>
      <c r="K118" s="44"/>
    </row>
    <row r="119" spans="4:11" s="28" customFormat="1" x14ac:dyDescent="0.2">
      <c r="D119" s="44"/>
      <c r="E119" s="44"/>
      <c r="F119" s="44"/>
      <c r="G119" s="44"/>
      <c r="H119" s="44"/>
      <c r="I119" s="44"/>
      <c r="J119" s="44"/>
      <c r="K119" s="44"/>
    </row>
    <row r="120" spans="4:11" s="28" customFormat="1" x14ac:dyDescent="0.2">
      <c r="D120" s="44"/>
      <c r="E120" s="44"/>
      <c r="F120" s="44"/>
      <c r="G120" s="44"/>
      <c r="H120" s="44"/>
      <c r="I120" s="44"/>
      <c r="J120" s="44"/>
      <c r="K120" s="44"/>
    </row>
    <row r="121" spans="4:11" s="28" customFormat="1" x14ac:dyDescent="0.2">
      <c r="D121" s="44"/>
      <c r="E121" s="44"/>
      <c r="F121" s="44"/>
      <c r="G121" s="44"/>
      <c r="H121" s="44"/>
      <c r="I121" s="44"/>
      <c r="J121" s="44"/>
      <c r="K121" s="44"/>
    </row>
    <row r="122" spans="4:11" s="28" customFormat="1" x14ac:dyDescent="0.2">
      <c r="D122" s="44"/>
      <c r="E122" s="44"/>
      <c r="F122" s="44"/>
      <c r="G122" s="44"/>
      <c r="H122" s="44"/>
      <c r="I122" s="44"/>
      <c r="J122" s="44"/>
      <c r="K122" s="44"/>
    </row>
    <row r="123" spans="4:11" s="28" customFormat="1" x14ac:dyDescent="0.2">
      <c r="D123" s="44"/>
      <c r="E123" s="44"/>
      <c r="F123" s="44"/>
      <c r="G123" s="44"/>
      <c r="H123" s="44"/>
      <c r="I123" s="44"/>
      <c r="J123" s="44"/>
      <c r="K123" s="44"/>
    </row>
    <row r="124" spans="4:11" s="28" customFormat="1" x14ac:dyDescent="0.2">
      <c r="D124" s="44"/>
      <c r="E124" s="44"/>
      <c r="F124" s="44"/>
      <c r="G124" s="44"/>
      <c r="H124" s="44"/>
      <c r="I124" s="44"/>
      <c r="J124" s="44"/>
      <c r="K124" s="44"/>
    </row>
    <row r="125" spans="4:11" s="28" customFormat="1" x14ac:dyDescent="0.2">
      <c r="D125" s="44"/>
      <c r="E125" s="44"/>
      <c r="F125" s="44"/>
      <c r="G125" s="44"/>
      <c r="H125" s="44"/>
      <c r="I125" s="44"/>
      <c r="J125" s="44"/>
      <c r="K125" s="44"/>
    </row>
    <row r="126" spans="4:11" s="28" customFormat="1" x14ac:dyDescent="0.2">
      <c r="D126" s="44"/>
      <c r="E126" s="44"/>
      <c r="F126" s="44"/>
      <c r="G126" s="44"/>
      <c r="H126" s="44"/>
      <c r="I126" s="44"/>
      <c r="J126" s="44"/>
      <c r="K126" s="44"/>
    </row>
    <row r="127" spans="4:11" s="28" customFormat="1" x14ac:dyDescent="0.2">
      <c r="D127" s="44"/>
      <c r="E127" s="44"/>
      <c r="F127" s="44"/>
      <c r="G127" s="44"/>
      <c r="H127" s="44"/>
      <c r="I127" s="44"/>
      <c r="J127" s="44"/>
      <c r="K127" s="44"/>
    </row>
    <row r="128" spans="4:11" s="28" customFormat="1" x14ac:dyDescent="0.2">
      <c r="D128" s="44"/>
      <c r="E128" s="44"/>
      <c r="F128" s="44"/>
      <c r="G128" s="44"/>
      <c r="H128" s="44"/>
      <c r="I128" s="44"/>
      <c r="J128" s="44"/>
      <c r="K128" s="44"/>
    </row>
    <row r="129" spans="4:11" s="28" customFormat="1" x14ac:dyDescent="0.2">
      <c r="D129" s="44"/>
      <c r="E129" s="44"/>
      <c r="F129" s="44"/>
      <c r="G129" s="44"/>
      <c r="H129" s="44"/>
      <c r="I129" s="44"/>
      <c r="J129" s="44"/>
      <c r="K129" s="44"/>
    </row>
    <row r="130" spans="4:11" s="28" customFormat="1" x14ac:dyDescent="0.2">
      <c r="D130" s="44"/>
      <c r="E130" s="44"/>
      <c r="F130" s="44"/>
      <c r="G130" s="44"/>
      <c r="H130" s="44"/>
      <c r="I130" s="44"/>
      <c r="J130" s="44"/>
      <c r="K130" s="44"/>
    </row>
    <row r="131" spans="4:11" s="28" customFormat="1" x14ac:dyDescent="0.2">
      <c r="D131" s="44"/>
      <c r="E131" s="44"/>
      <c r="F131" s="44"/>
      <c r="G131" s="44"/>
      <c r="H131" s="44"/>
      <c r="I131" s="44"/>
      <c r="J131" s="44"/>
      <c r="K131" s="44"/>
    </row>
    <row r="132" spans="4:11" s="28" customFormat="1" x14ac:dyDescent="0.2">
      <c r="D132" s="44"/>
      <c r="E132" s="44"/>
      <c r="F132" s="44"/>
      <c r="G132" s="44"/>
      <c r="H132" s="44"/>
      <c r="I132" s="44"/>
      <c r="J132" s="44"/>
      <c r="K132" s="44"/>
    </row>
    <row r="133" spans="4:11" s="28" customFormat="1" x14ac:dyDescent="0.2">
      <c r="D133" s="44"/>
      <c r="E133" s="44"/>
      <c r="F133" s="44"/>
      <c r="G133" s="44"/>
      <c r="H133" s="44"/>
      <c r="I133" s="44"/>
      <c r="J133" s="44"/>
      <c r="K133" s="44"/>
    </row>
    <row r="134" spans="4:11" s="28" customFormat="1" x14ac:dyDescent="0.2">
      <c r="D134" s="44"/>
      <c r="E134" s="44"/>
      <c r="F134" s="44"/>
      <c r="G134" s="44"/>
      <c r="H134" s="44"/>
      <c r="I134" s="44"/>
      <c r="J134" s="44"/>
      <c r="K134" s="44"/>
    </row>
    <row r="135" spans="4:11" s="28" customFormat="1" x14ac:dyDescent="0.2">
      <c r="D135" s="44"/>
      <c r="E135" s="44"/>
      <c r="F135" s="44"/>
      <c r="G135" s="44"/>
      <c r="H135" s="44"/>
      <c r="I135" s="44"/>
      <c r="J135" s="44"/>
      <c r="K135" s="44"/>
    </row>
    <row r="136" spans="4:11" s="28" customFormat="1" x14ac:dyDescent="0.2">
      <c r="D136" s="44"/>
      <c r="E136" s="44"/>
      <c r="F136" s="44"/>
      <c r="G136" s="44"/>
      <c r="H136" s="44"/>
      <c r="I136" s="44"/>
      <c r="J136" s="44"/>
      <c r="K136" s="44"/>
    </row>
    <row r="137" spans="4:11" s="28" customFormat="1" x14ac:dyDescent="0.2">
      <c r="D137" s="44"/>
      <c r="E137" s="44"/>
      <c r="F137" s="44"/>
      <c r="G137" s="44"/>
      <c r="H137" s="44"/>
      <c r="I137" s="44"/>
      <c r="J137" s="44"/>
      <c r="K137" s="44"/>
    </row>
    <row r="138" spans="4:11" s="28" customFormat="1" x14ac:dyDescent="0.2">
      <c r="D138" s="44"/>
      <c r="E138" s="44"/>
      <c r="F138" s="44"/>
      <c r="G138" s="44"/>
      <c r="H138" s="44"/>
      <c r="I138" s="44"/>
      <c r="J138" s="44"/>
      <c r="K138" s="44"/>
    </row>
    <row r="139" spans="4:11" s="28" customFormat="1" x14ac:dyDescent="0.2">
      <c r="D139" s="44"/>
      <c r="E139" s="44"/>
      <c r="F139" s="44"/>
      <c r="G139" s="44"/>
      <c r="H139" s="44"/>
      <c r="I139" s="44"/>
      <c r="J139" s="44"/>
      <c r="K139" s="44"/>
    </row>
  </sheetData>
  <sheetProtection algorithmName="SHA-512" hashValue="WHw1U8vKn/MOpHiK/u0tG524VcGi4JUIQNusheSK5K6Pt08sFfjXwQ1ChhxkmQrIVre+dZaTwrjDaTe25R+0+A==" saltValue="TAOf2YhN1WCqaokffwBtNg==" spinCount="100000" sheet="1" objects="1" scenarios="1"/>
  <mergeCells count="2">
    <mergeCell ref="B23:K23"/>
    <mergeCell ref="B2:C2"/>
  </mergeCells>
  <conditionalFormatting sqref="N16 P16">
    <cfRule type="containsText" dxfId="1" priority="1" operator="containsText" text="Y">
      <formula>NOT(ISERROR(SEARCH("Y",N16)))</formula>
    </cfRule>
    <cfRule type="containsText" dxfId="0" priority="2" operator="containsText" text="N">
      <formula>NOT(ISERROR(SEARCH("N",N16)))</formula>
    </cfRule>
  </conditionalFormatting>
  <dataValidations count="1">
    <dataValidation type="list" allowBlank="1" showInputMessage="1" showErrorMessage="1" sqref="U16" xr:uid="{8BBBD530-BC34-4589-8093-A7541BA57574}">
      <formula1>#REF!</formula1>
    </dataValidation>
  </dataValidations>
  <pageMargins left="0.7" right="0.7" top="0.75" bottom="0.75" header="0.3" footer="0.3"/>
  <pageSetup paperSize="9" scale="36" orientation="portrait" r:id="rId1"/>
  <headerFooter>
    <oddFooter>&amp;L_x000D_&amp;1#&amp;"Calibri"&amp;8&amp;K000000 Unclassified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D78E2-2389-4F0F-B5C5-4C81F3D3A5AE}">
  <sheetPr codeName="Sheet15">
    <tabColor theme="4" tint="0.79998168889431442"/>
    <pageSetUpPr fitToPage="1"/>
  </sheetPr>
  <dimension ref="B1:N77"/>
  <sheetViews>
    <sheetView showGridLines="0" topLeftCell="A34" zoomScale="60" zoomScaleNormal="60" workbookViewId="0">
      <selection activeCell="I31" sqref="I31"/>
    </sheetView>
  </sheetViews>
  <sheetFormatPr defaultColWidth="8.5703125" defaultRowHeight="15" x14ac:dyDescent="0.2"/>
  <cols>
    <col min="1" max="1" width="4.42578125" style="37" customWidth="1"/>
    <col min="2" max="2" width="77" style="37" customWidth="1"/>
    <col min="3" max="3" width="23.42578125" style="37" customWidth="1"/>
    <col min="4" max="4" width="10.5703125" style="68" customWidth="1"/>
    <col min="5" max="5" width="19.7109375" style="68" customWidth="1"/>
    <col min="6" max="6" width="27.7109375" style="68" customWidth="1"/>
    <col min="7" max="7" width="20.5703125" style="68" customWidth="1"/>
    <col min="8" max="14" width="21.5703125" style="68" customWidth="1"/>
    <col min="15" max="16384" width="8.5703125" style="37"/>
  </cols>
  <sheetData>
    <row r="1" spans="2:14" ht="24.6" customHeight="1" x14ac:dyDescent="0.2"/>
    <row r="2" spans="2:14" ht="81" customHeight="1" x14ac:dyDescent="0.2">
      <c r="B2" s="343"/>
      <c r="C2" s="343" t="s">
        <v>256</v>
      </c>
      <c r="D2" s="343"/>
      <c r="E2" s="343"/>
      <c r="F2" s="343"/>
      <c r="G2" s="343"/>
      <c r="H2" s="337"/>
      <c r="I2" s="337"/>
      <c r="J2" s="337"/>
      <c r="K2" s="337"/>
      <c r="L2" s="337"/>
      <c r="M2" s="337"/>
      <c r="N2" s="277"/>
    </row>
    <row r="3" spans="2:14" ht="25.5" customHeight="1" x14ac:dyDescent="0.2">
      <c r="B3" s="68"/>
      <c r="C3" s="68"/>
    </row>
    <row r="4" spans="2:14" ht="24.75" customHeight="1" x14ac:dyDescent="0.2">
      <c r="B4" s="6" t="s">
        <v>257</v>
      </c>
      <c r="C4" s="6"/>
      <c r="D4" s="158" t="s">
        <v>9</v>
      </c>
      <c r="E4" s="158"/>
      <c r="F4" s="135" t="s">
        <v>10</v>
      </c>
      <c r="G4" s="136" t="s">
        <v>11</v>
      </c>
      <c r="H4" s="136" t="s">
        <v>12</v>
      </c>
      <c r="I4" s="136" t="s">
        <v>13</v>
      </c>
      <c r="J4" s="136" t="s">
        <v>14</v>
      </c>
      <c r="K4" s="136" t="s">
        <v>15</v>
      </c>
      <c r="L4" s="136" t="s">
        <v>16</v>
      </c>
      <c r="M4" s="136" t="s">
        <v>17</v>
      </c>
      <c r="N4" s="136" t="s">
        <v>18</v>
      </c>
    </row>
    <row r="5" spans="2:14" ht="24.75" customHeight="1" x14ac:dyDescent="0.25">
      <c r="B5" s="234" t="s">
        <v>258</v>
      </c>
      <c r="C5" s="234"/>
      <c r="D5" s="238"/>
      <c r="E5" s="238"/>
      <c r="F5" s="819"/>
      <c r="G5" s="782"/>
      <c r="H5" s="436"/>
      <c r="I5" s="244"/>
      <c r="J5" s="199"/>
      <c r="K5" s="244"/>
      <c r="L5" s="244"/>
      <c r="M5" s="244"/>
      <c r="N5" s="244"/>
    </row>
    <row r="6" spans="2:14" ht="24.75" customHeight="1" x14ac:dyDescent="0.25">
      <c r="B6" s="357" t="s">
        <v>259</v>
      </c>
      <c r="C6" s="357"/>
      <c r="D6" s="251" t="s">
        <v>260</v>
      </c>
      <c r="E6" s="251"/>
      <c r="F6" s="794">
        <v>2472.0500000000002</v>
      </c>
      <c r="G6" s="617">
        <v>2737</v>
      </c>
      <c r="H6" s="192">
        <v>2612.89</v>
      </c>
      <c r="I6" s="192">
        <v>2323.6</v>
      </c>
      <c r="J6" s="192">
        <v>2255</v>
      </c>
      <c r="K6" s="192">
        <v>2259</v>
      </c>
      <c r="L6" s="192">
        <v>3149</v>
      </c>
      <c r="M6" s="192">
        <v>4168</v>
      </c>
      <c r="N6" s="192">
        <v>4186</v>
      </c>
    </row>
    <row r="7" spans="2:14" ht="24.75" customHeight="1" x14ac:dyDescent="0.25">
      <c r="B7" s="357" t="s">
        <v>261</v>
      </c>
      <c r="C7" s="357"/>
      <c r="D7" s="251" t="s">
        <v>262</v>
      </c>
      <c r="E7" s="251"/>
      <c r="F7" s="794">
        <v>129.4</v>
      </c>
      <c r="G7" s="617">
        <v>115.95</v>
      </c>
      <c r="H7" s="439">
        <v>211.45</v>
      </c>
      <c r="I7" s="439">
        <v>234.6</v>
      </c>
      <c r="J7" s="439">
        <v>272</v>
      </c>
      <c r="K7" s="439">
        <v>205</v>
      </c>
      <c r="L7" s="439">
        <v>208</v>
      </c>
      <c r="M7" s="439">
        <v>214</v>
      </c>
      <c r="N7" s="439">
        <v>166</v>
      </c>
    </row>
    <row r="8" spans="2:14" ht="24.75" customHeight="1" x14ac:dyDescent="0.25">
      <c r="B8" s="357" t="s">
        <v>263</v>
      </c>
      <c r="C8" s="357"/>
      <c r="D8" s="251" t="s">
        <v>260</v>
      </c>
      <c r="E8" s="251"/>
      <c r="F8" s="794">
        <v>69.64</v>
      </c>
      <c r="G8" s="617">
        <v>66.69</v>
      </c>
      <c r="H8" s="439">
        <v>90.04</v>
      </c>
      <c r="I8" s="439">
        <v>61.8</v>
      </c>
      <c r="J8" s="439">
        <v>64</v>
      </c>
      <c r="K8" s="439">
        <v>66</v>
      </c>
      <c r="L8" s="439">
        <v>85</v>
      </c>
      <c r="M8" s="439">
        <v>151</v>
      </c>
      <c r="N8" s="439">
        <v>91</v>
      </c>
    </row>
    <row r="9" spans="2:14" ht="24.75" customHeight="1" x14ac:dyDescent="0.25">
      <c r="B9" s="235" t="s">
        <v>264</v>
      </c>
      <c r="C9" s="235"/>
      <c r="D9" s="251"/>
      <c r="E9" s="251"/>
      <c r="F9" s="820"/>
      <c r="G9" s="433"/>
      <c r="H9" s="438"/>
      <c r="I9" s="404"/>
      <c r="J9" s="433"/>
      <c r="K9" s="434"/>
      <c r="L9" s="434"/>
      <c r="M9" s="434"/>
      <c r="N9" s="434"/>
    </row>
    <row r="10" spans="2:14" ht="24.75" customHeight="1" x14ac:dyDescent="0.25">
      <c r="B10" s="357" t="s">
        <v>265</v>
      </c>
      <c r="C10" s="357"/>
      <c r="D10" s="251" t="s">
        <v>31</v>
      </c>
      <c r="E10" s="251"/>
      <c r="F10" s="602">
        <v>0.124</v>
      </c>
      <c r="G10" s="816">
        <v>0.17799999999999999</v>
      </c>
      <c r="H10" s="614">
        <v>0.19</v>
      </c>
      <c r="I10" s="614">
        <v>0.219</v>
      </c>
      <c r="J10" s="197" t="s">
        <v>23</v>
      </c>
      <c r="K10" s="197" t="s">
        <v>23</v>
      </c>
      <c r="L10" s="197" t="s">
        <v>23</v>
      </c>
      <c r="M10" s="197" t="s">
        <v>23</v>
      </c>
      <c r="N10" s="197" t="s">
        <v>23</v>
      </c>
    </row>
    <row r="11" spans="2:14" ht="24.75" customHeight="1" x14ac:dyDescent="0.25">
      <c r="B11" s="357" t="s">
        <v>266</v>
      </c>
      <c r="C11" s="357"/>
      <c r="D11" s="251" t="s">
        <v>31</v>
      </c>
      <c r="E11" s="251"/>
      <c r="F11" s="602">
        <v>0.222</v>
      </c>
      <c r="G11" s="816">
        <v>0.25900000000000001</v>
      </c>
      <c r="H11" s="614">
        <v>0.24299999999999999</v>
      </c>
      <c r="I11" s="614">
        <v>0.27</v>
      </c>
      <c r="J11" s="197" t="s">
        <v>23</v>
      </c>
      <c r="K11" s="197" t="s">
        <v>23</v>
      </c>
      <c r="L11" s="197" t="s">
        <v>23</v>
      </c>
      <c r="M11" s="197" t="s">
        <v>23</v>
      </c>
      <c r="N11" s="197" t="s">
        <v>23</v>
      </c>
    </row>
    <row r="12" spans="2:14" ht="24.75" customHeight="1" x14ac:dyDescent="0.25">
      <c r="B12" s="357" t="s">
        <v>267</v>
      </c>
      <c r="C12" s="348"/>
      <c r="D12" s="251" t="s">
        <v>260</v>
      </c>
      <c r="E12" s="251"/>
      <c r="F12" s="821" t="s">
        <v>268</v>
      </c>
      <c r="G12" s="617" t="s">
        <v>269</v>
      </c>
      <c r="H12" s="377" t="s">
        <v>270</v>
      </c>
      <c r="I12" s="197" t="s">
        <v>23</v>
      </c>
      <c r="J12" s="197" t="s">
        <v>23</v>
      </c>
      <c r="K12" s="197" t="s">
        <v>23</v>
      </c>
      <c r="L12" s="197" t="s">
        <v>23</v>
      </c>
      <c r="M12" s="197" t="s">
        <v>23</v>
      </c>
      <c r="N12" s="197" t="s">
        <v>23</v>
      </c>
    </row>
    <row r="13" spans="2:14" ht="60.95" customHeight="1" x14ac:dyDescent="0.2">
      <c r="B13" s="988" t="s">
        <v>271</v>
      </c>
      <c r="C13" s="988"/>
      <c r="D13" s="988"/>
      <c r="E13" s="988"/>
      <c r="F13" s="988"/>
      <c r="G13" s="988"/>
      <c r="H13" s="988"/>
      <c r="I13" s="988"/>
      <c r="J13" s="988"/>
      <c r="K13" s="988"/>
      <c r="L13" s="988"/>
      <c r="M13" s="988"/>
      <c r="N13" s="988"/>
    </row>
    <row r="14" spans="2:14" ht="50.25" customHeight="1" x14ac:dyDescent="0.2">
      <c r="B14" s="616"/>
      <c r="C14" s="138"/>
      <c r="D14" s="159"/>
      <c r="E14" s="159"/>
      <c r="F14" s="159"/>
      <c r="G14" s="103"/>
      <c r="H14" s="89"/>
      <c r="I14" s="140"/>
      <c r="J14" s="141"/>
      <c r="K14" s="141"/>
      <c r="L14" s="141"/>
      <c r="M14" s="141"/>
      <c r="N14" s="141"/>
    </row>
    <row r="15" spans="2:14" ht="24.75" customHeight="1" x14ac:dyDescent="0.2">
      <c r="B15" s="6" t="s">
        <v>272</v>
      </c>
      <c r="C15" s="6"/>
      <c r="D15" s="7" t="s">
        <v>9</v>
      </c>
      <c r="E15" s="7"/>
      <c r="F15" s="135" t="s">
        <v>10</v>
      </c>
      <c r="G15" s="9" t="s">
        <v>11</v>
      </c>
      <c r="H15" s="9" t="s">
        <v>12</v>
      </c>
      <c r="I15" s="9" t="s">
        <v>13</v>
      </c>
      <c r="J15" s="9" t="s">
        <v>14</v>
      </c>
      <c r="K15" s="9" t="s">
        <v>15</v>
      </c>
      <c r="L15" s="9" t="s">
        <v>16</v>
      </c>
      <c r="M15" s="9" t="s">
        <v>17</v>
      </c>
      <c r="N15" s="9" t="s">
        <v>18</v>
      </c>
    </row>
    <row r="16" spans="2:14" ht="24.75" customHeight="1" x14ac:dyDescent="0.25">
      <c r="B16" s="234" t="s">
        <v>273</v>
      </c>
      <c r="C16" s="234"/>
      <c r="D16" s="238"/>
      <c r="E16" s="238"/>
      <c r="F16" s="820"/>
      <c r="G16" s="689"/>
      <c r="H16" s="402"/>
      <c r="I16" s="244"/>
      <c r="J16" s="199"/>
      <c r="K16" s="244"/>
      <c r="L16" s="244"/>
      <c r="M16" s="244"/>
      <c r="N16" s="244"/>
    </row>
    <row r="17" spans="2:14" ht="24.75" customHeight="1" x14ac:dyDescent="0.25">
      <c r="B17" s="357" t="s">
        <v>274</v>
      </c>
      <c r="C17" s="357"/>
      <c r="D17" s="251" t="s">
        <v>262</v>
      </c>
      <c r="E17" s="251"/>
      <c r="F17" s="809">
        <v>100019</v>
      </c>
      <c r="G17" s="617">
        <v>82430</v>
      </c>
      <c r="H17" s="374">
        <v>51545</v>
      </c>
      <c r="I17" s="374">
        <v>54393</v>
      </c>
      <c r="J17" s="374">
        <v>55714</v>
      </c>
      <c r="K17" s="374">
        <v>173802</v>
      </c>
      <c r="L17" s="374">
        <v>194338</v>
      </c>
      <c r="M17" s="374">
        <v>103583</v>
      </c>
      <c r="N17" s="374">
        <v>136129</v>
      </c>
    </row>
    <row r="18" spans="2:14" ht="24.75" customHeight="1" x14ac:dyDescent="0.25">
      <c r="B18" s="235" t="s">
        <v>275</v>
      </c>
      <c r="C18" s="235"/>
      <c r="D18" s="251"/>
      <c r="E18" s="251"/>
      <c r="F18" s="822"/>
      <c r="G18" s="433"/>
      <c r="H18" s="374"/>
      <c r="I18" s="374"/>
      <c r="J18" s="374"/>
      <c r="K18" s="374"/>
      <c r="L18" s="374"/>
      <c r="M18" s="374"/>
      <c r="N18" s="374"/>
    </row>
    <row r="19" spans="2:14" ht="24.75" customHeight="1" x14ac:dyDescent="0.25">
      <c r="B19" s="357" t="s">
        <v>276</v>
      </c>
      <c r="C19" s="357"/>
      <c r="D19" s="251" t="s">
        <v>262</v>
      </c>
      <c r="E19" s="251"/>
      <c r="F19" s="821">
        <v>176.9</v>
      </c>
      <c r="G19" s="617">
        <f>87500/1000</f>
        <v>87.5</v>
      </c>
      <c r="H19" s="431">
        <f>75000/1000</f>
        <v>75</v>
      </c>
      <c r="I19" s="431">
        <f>75000/1000</f>
        <v>75</v>
      </c>
      <c r="J19" s="431">
        <f>75000/1000</f>
        <v>75</v>
      </c>
      <c r="K19" s="374">
        <f>71250/1000</f>
        <v>71.25</v>
      </c>
      <c r="L19" s="374">
        <f>48000/1000</f>
        <v>48</v>
      </c>
      <c r="M19" s="374">
        <f>48000/1000</f>
        <v>48</v>
      </c>
      <c r="N19" s="374">
        <f>48000/1000</f>
        <v>48</v>
      </c>
    </row>
    <row r="20" spans="2:14" ht="24.75" customHeight="1" x14ac:dyDescent="0.25">
      <c r="B20" s="235" t="s">
        <v>277</v>
      </c>
      <c r="C20" s="235"/>
      <c r="D20" s="251"/>
      <c r="E20" s="251"/>
      <c r="F20" s="822"/>
      <c r="G20" s="620"/>
      <c r="H20" s="431"/>
      <c r="I20" s="431"/>
      <c r="J20" s="431"/>
      <c r="K20" s="374"/>
      <c r="L20" s="374"/>
      <c r="M20" s="374"/>
      <c r="N20" s="374"/>
    </row>
    <row r="21" spans="2:14" ht="24.75" customHeight="1" x14ac:dyDescent="0.25">
      <c r="B21" s="350" t="s">
        <v>278</v>
      </c>
      <c r="C21" s="357"/>
      <c r="D21" s="251" t="s">
        <v>262</v>
      </c>
      <c r="E21" s="251"/>
      <c r="F21" s="821">
        <v>66490</v>
      </c>
      <c r="G21" s="617">
        <v>78650</v>
      </c>
      <c r="H21" s="431">
        <v>70285</v>
      </c>
      <c r="I21" s="431">
        <v>75010</v>
      </c>
      <c r="J21" s="431">
        <v>66184</v>
      </c>
      <c r="K21" s="374">
        <v>66235</v>
      </c>
      <c r="L21" s="374">
        <v>68456</v>
      </c>
      <c r="M21" s="374">
        <v>76000</v>
      </c>
      <c r="N21" s="374">
        <v>76268</v>
      </c>
    </row>
    <row r="22" spans="2:14" ht="24.75" customHeight="1" x14ac:dyDescent="0.25">
      <c r="B22" s="613" t="s">
        <v>279</v>
      </c>
      <c r="C22" s="234"/>
      <c r="D22" s="251"/>
      <c r="E22" s="251"/>
      <c r="F22" s="820"/>
      <c r="G22" s="433"/>
      <c r="H22" s="377"/>
      <c r="I22" s="392"/>
      <c r="J22" s="431"/>
      <c r="K22" s="437"/>
      <c r="L22" s="437"/>
      <c r="M22" s="437"/>
      <c r="N22" s="437"/>
    </row>
    <row r="23" spans="2:14" ht="24.75" customHeight="1" x14ac:dyDescent="0.25">
      <c r="B23" s="567" t="s">
        <v>280</v>
      </c>
      <c r="C23" s="365"/>
      <c r="D23" s="251"/>
      <c r="E23" s="251"/>
      <c r="F23" s="820"/>
      <c r="G23" s="433"/>
      <c r="H23" s="377"/>
      <c r="I23" s="392"/>
      <c r="J23" s="431"/>
      <c r="K23" s="437"/>
      <c r="L23" s="437"/>
      <c r="M23" s="437"/>
      <c r="N23" s="437"/>
    </row>
    <row r="24" spans="2:14" ht="24.75" customHeight="1" x14ac:dyDescent="0.25">
      <c r="B24" s="566" t="s">
        <v>281</v>
      </c>
      <c r="C24" s="361"/>
      <c r="D24" s="251" t="s">
        <v>262</v>
      </c>
      <c r="E24" s="251"/>
      <c r="F24" s="821">
        <v>0</v>
      </c>
      <c r="G24" s="617">
        <v>0</v>
      </c>
      <c r="H24" s="377">
        <v>0</v>
      </c>
      <c r="I24" s="392">
        <v>0</v>
      </c>
      <c r="J24" s="197" t="s">
        <v>23</v>
      </c>
      <c r="K24" s="197" t="s">
        <v>23</v>
      </c>
      <c r="L24" s="197" t="s">
        <v>23</v>
      </c>
      <c r="M24" s="197" t="s">
        <v>23</v>
      </c>
      <c r="N24" s="197" t="s">
        <v>23</v>
      </c>
    </row>
    <row r="25" spans="2:14" ht="24.75" customHeight="1" x14ac:dyDescent="0.25">
      <c r="B25" s="566" t="s">
        <v>282</v>
      </c>
      <c r="C25" s="361"/>
      <c r="D25" s="251" t="s">
        <v>262</v>
      </c>
      <c r="E25" s="251"/>
      <c r="F25" s="821">
        <v>67306</v>
      </c>
      <c r="G25" s="617">
        <v>78413</v>
      </c>
      <c r="H25" s="377">
        <v>70187</v>
      </c>
      <c r="I25" s="392">
        <v>74949</v>
      </c>
      <c r="J25" s="197" t="s">
        <v>23</v>
      </c>
      <c r="K25" s="197" t="s">
        <v>23</v>
      </c>
      <c r="L25" s="197" t="s">
        <v>23</v>
      </c>
      <c r="M25" s="197" t="s">
        <v>23</v>
      </c>
      <c r="N25" s="197" t="s">
        <v>23</v>
      </c>
    </row>
    <row r="26" spans="2:14" ht="24.75" customHeight="1" x14ac:dyDescent="0.25">
      <c r="B26" s="567" t="s">
        <v>283</v>
      </c>
      <c r="C26" s="365"/>
      <c r="D26" s="251"/>
      <c r="E26" s="251"/>
      <c r="F26" s="820"/>
      <c r="G26" s="433"/>
      <c r="H26" s="467"/>
      <c r="I26" s="565"/>
      <c r="J26" s="431"/>
      <c r="K26" s="437"/>
      <c r="L26" s="437"/>
      <c r="M26" s="437"/>
      <c r="N26" s="437"/>
    </row>
    <row r="27" spans="2:14" ht="24.75" customHeight="1" x14ac:dyDescent="0.25">
      <c r="B27" s="566" t="s">
        <v>284</v>
      </c>
      <c r="C27" s="361"/>
      <c r="D27" s="251" t="s">
        <v>262</v>
      </c>
      <c r="E27" s="251"/>
      <c r="F27" s="821">
        <v>0</v>
      </c>
      <c r="G27" s="617">
        <v>0</v>
      </c>
      <c r="H27" s="377">
        <v>0</v>
      </c>
      <c r="I27" s="392">
        <v>0</v>
      </c>
      <c r="J27" s="197" t="s">
        <v>23</v>
      </c>
      <c r="K27" s="197" t="s">
        <v>23</v>
      </c>
      <c r="L27" s="197" t="s">
        <v>23</v>
      </c>
      <c r="M27" s="197" t="s">
        <v>23</v>
      </c>
      <c r="N27" s="197" t="s">
        <v>23</v>
      </c>
    </row>
    <row r="28" spans="2:14" ht="24.75" customHeight="1" x14ac:dyDescent="0.25">
      <c r="B28" s="566" t="s">
        <v>285</v>
      </c>
      <c r="C28" s="361"/>
      <c r="D28" s="251" t="s">
        <v>262</v>
      </c>
      <c r="E28" s="251"/>
      <c r="F28" s="821">
        <v>67306</v>
      </c>
      <c r="G28" s="617">
        <v>78413</v>
      </c>
      <c r="H28" s="377">
        <v>70187</v>
      </c>
      <c r="I28" s="392">
        <v>74949</v>
      </c>
      <c r="J28" s="197" t="s">
        <v>23</v>
      </c>
      <c r="K28" s="197" t="s">
        <v>23</v>
      </c>
      <c r="L28" s="197" t="s">
        <v>23</v>
      </c>
      <c r="M28" s="197" t="s">
        <v>23</v>
      </c>
      <c r="N28" s="197" t="s">
        <v>23</v>
      </c>
    </row>
    <row r="29" spans="2:14" ht="24.75" customHeight="1" x14ac:dyDescent="0.25">
      <c r="B29" s="566" t="s">
        <v>286</v>
      </c>
      <c r="C29" s="361"/>
      <c r="D29" s="251" t="s">
        <v>262</v>
      </c>
      <c r="E29" s="251"/>
      <c r="F29" s="821">
        <v>0</v>
      </c>
      <c r="G29" s="617">
        <v>0</v>
      </c>
      <c r="H29" s="377">
        <v>0</v>
      </c>
      <c r="I29" s="392">
        <v>0</v>
      </c>
      <c r="J29" s="197" t="s">
        <v>23</v>
      </c>
      <c r="K29" s="197" t="s">
        <v>23</v>
      </c>
      <c r="L29" s="197" t="s">
        <v>23</v>
      </c>
      <c r="M29" s="197" t="s">
        <v>23</v>
      </c>
      <c r="N29" s="197" t="s">
        <v>23</v>
      </c>
    </row>
    <row r="30" spans="2:14" ht="24.75" customHeight="1" x14ac:dyDescent="0.25">
      <c r="B30" s="566" t="s">
        <v>287</v>
      </c>
      <c r="C30" s="361"/>
      <c r="D30" s="251" t="s">
        <v>262</v>
      </c>
      <c r="E30" s="251"/>
      <c r="F30" s="821">
        <v>0</v>
      </c>
      <c r="G30" s="617">
        <v>0</v>
      </c>
      <c r="H30" s="377">
        <v>0</v>
      </c>
      <c r="I30" s="392">
        <v>0</v>
      </c>
      <c r="J30" s="197" t="s">
        <v>23</v>
      </c>
      <c r="K30" s="197" t="s">
        <v>23</v>
      </c>
      <c r="L30" s="197" t="s">
        <v>23</v>
      </c>
      <c r="M30" s="197" t="s">
        <v>23</v>
      </c>
      <c r="N30" s="197" t="s">
        <v>23</v>
      </c>
    </row>
    <row r="31" spans="2:14" ht="24.75" customHeight="1" x14ac:dyDescent="0.25">
      <c r="B31" s="566" t="s">
        <v>288</v>
      </c>
      <c r="C31" s="361"/>
      <c r="D31" s="251" t="s">
        <v>262</v>
      </c>
      <c r="E31" s="251"/>
      <c r="F31" s="821">
        <v>2052</v>
      </c>
      <c r="G31" s="617">
        <v>1856</v>
      </c>
      <c r="H31" s="377">
        <v>1673</v>
      </c>
      <c r="I31" s="392">
        <v>1783</v>
      </c>
      <c r="J31" s="197" t="s">
        <v>23</v>
      </c>
      <c r="K31" s="197" t="s">
        <v>23</v>
      </c>
      <c r="L31" s="197" t="s">
        <v>23</v>
      </c>
      <c r="M31" s="197" t="s">
        <v>23</v>
      </c>
      <c r="N31" s="197" t="s">
        <v>23</v>
      </c>
    </row>
    <row r="32" spans="2:14" ht="24.75" customHeight="1" x14ac:dyDescent="0.25">
      <c r="B32" s="639" t="s">
        <v>289</v>
      </c>
      <c r="C32" s="361"/>
      <c r="D32" s="251" t="s">
        <v>262</v>
      </c>
      <c r="E32" s="251"/>
      <c r="F32" s="821">
        <f>SUM(F27:F31)</f>
        <v>69358</v>
      </c>
      <c r="G32" s="617">
        <f>SUM(G27:G31)</f>
        <v>80269</v>
      </c>
      <c r="H32" s="392">
        <f>SUM(H27:H31)</f>
        <v>71860</v>
      </c>
      <c r="I32" s="392">
        <f>SUM(I27:I31)</f>
        <v>76732</v>
      </c>
      <c r="J32" s="192" t="str">
        <f>'Ausgrid Environment'!J32</f>
        <v>-</v>
      </c>
      <c r="K32" s="192" t="str">
        <f>'Ausgrid Environment'!K32</f>
        <v>-</v>
      </c>
      <c r="L32" s="192" t="str">
        <f>'Ausgrid Environment'!L32</f>
        <v>-</v>
      </c>
      <c r="M32" s="192" t="str">
        <f>'Ausgrid Environment'!M32</f>
        <v>-</v>
      </c>
      <c r="N32" s="192" t="str">
        <f>'Ausgrid Environment'!N32</f>
        <v>-</v>
      </c>
    </row>
    <row r="33" spans="2:14" ht="24.75" customHeight="1" x14ac:dyDescent="0.25">
      <c r="B33" s="639" t="s">
        <v>290</v>
      </c>
      <c r="C33" s="361"/>
      <c r="D33" s="251" t="s">
        <v>262</v>
      </c>
      <c r="E33" s="251"/>
      <c r="F33" s="794">
        <f>SUM(F27:F29)</f>
        <v>67306</v>
      </c>
      <c r="G33" s="620">
        <f>SUM(G27:G29)</f>
        <v>78413</v>
      </c>
      <c r="H33" s="392">
        <f>SUM(H27:H29)</f>
        <v>70187</v>
      </c>
      <c r="I33" s="392">
        <f>SUM(I27:I29)</f>
        <v>74949</v>
      </c>
      <c r="J33" s="192" t="str">
        <f>'Ausgrid Environment'!J33</f>
        <v>-</v>
      </c>
      <c r="K33" s="192" t="str">
        <f>'Ausgrid Environment'!K33</f>
        <v>-</v>
      </c>
      <c r="L33" s="192" t="str">
        <f>'Ausgrid Environment'!L33</f>
        <v>-</v>
      </c>
      <c r="M33" s="192" t="str">
        <f>'Ausgrid Environment'!M33</f>
        <v>-</v>
      </c>
      <c r="N33" s="192" t="str">
        <f>'Ausgrid Environment'!N33</f>
        <v>-</v>
      </c>
    </row>
    <row r="34" spans="2:14" ht="80.849999999999994" customHeight="1" x14ac:dyDescent="0.2">
      <c r="B34" s="989" t="s">
        <v>291</v>
      </c>
      <c r="C34" s="989"/>
      <c r="D34" s="989"/>
      <c r="E34" s="989"/>
      <c r="F34" s="989"/>
      <c r="G34" s="989"/>
      <c r="H34" s="989"/>
      <c r="I34" s="989"/>
      <c r="J34" s="989"/>
      <c r="K34" s="989"/>
      <c r="L34" s="989"/>
      <c r="M34" s="989"/>
      <c r="N34" s="989"/>
    </row>
    <row r="35" spans="2:14" ht="50.1" customHeight="1" x14ac:dyDescent="0.2">
      <c r="B35" s="83"/>
      <c r="C35" s="83"/>
      <c r="D35" s="18"/>
      <c r="E35" s="18"/>
      <c r="F35" s="18"/>
      <c r="G35" s="103"/>
      <c r="H35" s="89"/>
      <c r="I35" s="93"/>
      <c r="J35" s="132"/>
      <c r="K35" s="86"/>
      <c r="L35" s="86"/>
      <c r="M35" s="86"/>
      <c r="N35" s="86"/>
    </row>
    <row r="36" spans="2:14" ht="24.75" customHeight="1" x14ac:dyDescent="0.2">
      <c r="B36" s="6" t="s">
        <v>292</v>
      </c>
      <c r="C36" s="6"/>
      <c r="D36" s="7" t="s">
        <v>9</v>
      </c>
      <c r="E36" s="7"/>
      <c r="F36" s="135" t="s">
        <v>10</v>
      </c>
      <c r="G36" s="9" t="s">
        <v>11</v>
      </c>
      <c r="H36" s="9" t="s">
        <v>12</v>
      </c>
      <c r="I36" s="9" t="s">
        <v>13</v>
      </c>
      <c r="J36" s="9" t="s">
        <v>14</v>
      </c>
      <c r="K36" s="9" t="s">
        <v>15</v>
      </c>
      <c r="L36" s="9" t="s">
        <v>16</v>
      </c>
      <c r="M36" s="9" t="s">
        <v>17</v>
      </c>
      <c r="N36" s="9" t="s">
        <v>18</v>
      </c>
    </row>
    <row r="37" spans="2:14" ht="24.75" customHeight="1" x14ac:dyDescent="0.25">
      <c r="B37" s="231" t="s">
        <v>293</v>
      </c>
      <c r="C37" s="195"/>
      <c r="D37" s="315"/>
      <c r="E37" s="315"/>
      <c r="F37" s="823"/>
      <c r="G37" s="217"/>
      <c r="H37" s="191"/>
      <c r="I37" s="404"/>
      <c r="J37" s="407"/>
      <c r="K37" s="181"/>
      <c r="L37" s="181"/>
      <c r="M37" s="181"/>
      <c r="N37" s="181"/>
    </row>
    <row r="38" spans="2:14" ht="24.75" customHeight="1" x14ac:dyDescent="0.25">
      <c r="B38" s="350" t="s">
        <v>294</v>
      </c>
      <c r="C38" s="354"/>
      <c r="D38" s="251" t="s">
        <v>295</v>
      </c>
      <c r="E38" s="251"/>
      <c r="F38" s="794">
        <v>0</v>
      </c>
      <c r="G38" s="617">
        <f>SUM('Ausgrid Environment'!G38,'PLUS ES Environment'!G26)</f>
        <v>0</v>
      </c>
      <c r="H38" s="562">
        <f>SUM('Ausgrid Environment'!H38,'PLUS ES Environment'!H26)</f>
        <v>0.3</v>
      </c>
      <c r="I38" s="407" t="s">
        <v>219</v>
      </c>
      <c r="J38" s="407" t="s">
        <v>219</v>
      </c>
      <c r="K38" s="407" t="s">
        <v>219</v>
      </c>
      <c r="L38" s="407" t="s">
        <v>219</v>
      </c>
      <c r="M38" s="407" t="s">
        <v>219</v>
      </c>
      <c r="N38" s="407" t="s">
        <v>219</v>
      </c>
    </row>
    <row r="39" spans="2:14" ht="24.75" customHeight="1" x14ac:dyDescent="0.25">
      <c r="B39" s="568" t="s">
        <v>296</v>
      </c>
      <c r="C39" s="362"/>
      <c r="D39" s="251" t="s">
        <v>25</v>
      </c>
      <c r="E39" s="251"/>
      <c r="F39" s="794">
        <v>0</v>
      </c>
      <c r="G39" s="617">
        <f>SUM('Ausgrid Environment'!G39,'PLUS ES Environment'!G27)</f>
        <v>0</v>
      </c>
      <c r="H39" s="617">
        <f>SUM('Ausgrid Environment'!H39,'PLUS ES Environment'!H27)</f>
        <v>0</v>
      </c>
      <c r="I39" s="617">
        <f>SUM('Ausgrid Environment'!I39,'PLUS ES Environment'!I27)</f>
        <v>0</v>
      </c>
      <c r="J39" s="617">
        <f>SUM('Ausgrid Environment'!J39,'PLUS ES Environment'!J27)</f>
        <v>0</v>
      </c>
      <c r="K39" s="617">
        <f>SUM('Ausgrid Environment'!K39,'PLUS ES Environment'!K27)</f>
        <v>0</v>
      </c>
      <c r="L39" s="617">
        <f>SUM('Ausgrid Environment'!L39,'PLUS ES Environment'!L27)</f>
        <v>0</v>
      </c>
      <c r="M39" s="617">
        <f>SUM('Ausgrid Environment'!M39,'PLUS ES Environment'!M27)</f>
        <v>0</v>
      </c>
      <c r="N39" s="617">
        <f>SUM('Ausgrid Environment'!N39,'PLUS ES Environment'!N27)</f>
        <v>0</v>
      </c>
    </row>
    <row r="40" spans="2:14" ht="24.75" customHeight="1" x14ac:dyDescent="0.25">
      <c r="B40" s="345" t="s">
        <v>297</v>
      </c>
      <c r="C40" s="344"/>
      <c r="D40" s="251" t="s">
        <v>25</v>
      </c>
      <c r="E40" s="251"/>
      <c r="F40" s="794">
        <v>0</v>
      </c>
      <c r="G40" s="617">
        <f>SUM('Ausgrid Environment'!G40,'PLUS ES Environment'!G28)</f>
        <v>0</v>
      </c>
      <c r="H40" s="617">
        <f>SUM('Ausgrid Environment'!H40,'PLUS ES Environment'!H28)</f>
        <v>0</v>
      </c>
      <c r="I40" s="617">
        <f>SUM('Ausgrid Environment'!I40,'PLUS ES Environment'!I28)</f>
        <v>0</v>
      </c>
      <c r="J40" s="617">
        <f>SUM('Ausgrid Environment'!J40,'PLUS ES Environment'!J28)</f>
        <v>0</v>
      </c>
      <c r="K40" s="617">
        <f>SUM('Ausgrid Environment'!K40,'PLUS ES Environment'!K28)</f>
        <v>0</v>
      </c>
      <c r="L40" s="617">
        <f>SUM('Ausgrid Environment'!L40,'PLUS ES Environment'!L28)</f>
        <v>0</v>
      </c>
      <c r="M40" s="617">
        <f>SUM('Ausgrid Environment'!M40,'PLUS ES Environment'!M28)</f>
        <v>0</v>
      </c>
      <c r="N40" s="617">
        <f>SUM('Ausgrid Environment'!N40,'PLUS ES Environment'!N28)</f>
        <v>0</v>
      </c>
    </row>
    <row r="41" spans="2:14" ht="24.75" customHeight="1" x14ac:dyDescent="0.25">
      <c r="B41" s="231" t="s">
        <v>298</v>
      </c>
      <c r="C41" s="195"/>
      <c r="D41" s="251"/>
      <c r="E41" s="251"/>
      <c r="F41" s="820"/>
      <c r="G41" s="433"/>
      <c r="H41" s="436"/>
      <c r="I41" s="404"/>
      <c r="J41" s="197"/>
      <c r="K41" s="197"/>
      <c r="L41" s="197"/>
      <c r="M41" s="197"/>
      <c r="N41" s="197"/>
    </row>
    <row r="42" spans="2:14" ht="24.75" customHeight="1" x14ac:dyDescent="0.25">
      <c r="B42" s="568" t="s">
        <v>299</v>
      </c>
      <c r="C42" s="362"/>
      <c r="D42" s="251" t="s">
        <v>25</v>
      </c>
      <c r="E42" s="251"/>
      <c r="F42" s="794">
        <v>699</v>
      </c>
      <c r="G42" s="617">
        <v>1162</v>
      </c>
      <c r="H42" s="197">
        <v>1051</v>
      </c>
      <c r="I42" s="197">
        <v>943</v>
      </c>
      <c r="J42" s="197">
        <v>1246</v>
      </c>
      <c r="K42" s="197">
        <v>1251</v>
      </c>
      <c r="L42" s="197">
        <v>904</v>
      </c>
      <c r="M42" s="197">
        <v>995</v>
      </c>
      <c r="N42" s="197">
        <v>1074</v>
      </c>
    </row>
    <row r="43" spans="2:14" ht="24.75" customHeight="1" x14ac:dyDescent="0.25">
      <c r="B43" s="345" t="s">
        <v>300</v>
      </c>
      <c r="C43" s="344"/>
      <c r="D43" s="251" t="s">
        <v>25</v>
      </c>
      <c r="E43" s="251"/>
      <c r="F43" s="794">
        <v>193</v>
      </c>
      <c r="G43" s="617">
        <f>SUM('Ausgrid Environment'!G43,'PLUS ES Environment'!G31)</f>
        <v>346</v>
      </c>
      <c r="H43" s="197">
        <f>SUM('Ausgrid Environment'!H43,'PLUS ES Environment'!H31)</f>
        <v>253</v>
      </c>
      <c r="I43" s="197">
        <v>178</v>
      </c>
      <c r="J43" s="197">
        <v>447</v>
      </c>
      <c r="K43" s="197">
        <v>555</v>
      </c>
      <c r="L43" s="197">
        <v>303</v>
      </c>
      <c r="M43" s="197">
        <v>426</v>
      </c>
      <c r="N43" s="197">
        <v>567</v>
      </c>
    </row>
    <row r="44" spans="2:14" ht="50.1" customHeight="1" x14ac:dyDescent="0.2">
      <c r="B44" s="122"/>
      <c r="C44" s="122"/>
      <c r="D44" s="18"/>
      <c r="E44" s="18"/>
      <c r="F44" s="18"/>
      <c r="G44" s="119"/>
      <c r="H44" s="90"/>
      <c r="I44" s="145"/>
      <c r="J44" s="132"/>
      <c r="K44" s="86"/>
      <c r="L44" s="86"/>
      <c r="M44" s="86"/>
      <c r="N44" s="86"/>
    </row>
    <row r="45" spans="2:14" ht="24.75" customHeight="1" x14ac:dyDescent="0.2">
      <c r="B45" s="6" t="s">
        <v>301</v>
      </c>
      <c r="C45" s="6"/>
      <c r="D45" s="7" t="s">
        <v>9</v>
      </c>
      <c r="E45" s="7"/>
      <c r="F45" s="135" t="s">
        <v>10</v>
      </c>
      <c r="G45" s="9" t="s">
        <v>11</v>
      </c>
      <c r="H45" s="9" t="s">
        <v>12</v>
      </c>
      <c r="I45" s="9" t="s">
        <v>13</v>
      </c>
      <c r="J45" s="9" t="s">
        <v>14</v>
      </c>
      <c r="K45" s="9" t="s">
        <v>15</v>
      </c>
      <c r="L45" s="9" t="s">
        <v>16</v>
      </c>
      <c r="M45" s="9" t="s">
        <v>17</v>
      </c>
      <c r="N45" s="9" t="s">
        <v>18</v>
      </c>
    </row>
    <row r="46" spans="2:14" ht="24.75" customHeight="1" x14ac:dyDescent="0.25">
      <c r="B46" s="238" t="s">
        <v>302</v>
      </c>
      <c r="C46" s="238"/>
      <c r="D46" s="238" t="s">
        <v>31</v>
      </c>
      <c r="E46" s="238"/>
      <c r="F46" s="602">
        <v>1</v>
      </c>
      <c r="G46" s="608">
        <v>1</v>
      </c>
      <c r="H46" s="383">
        <v>1</v>
      </c>
      <c r="I46" s="435">
        <v>1</v>
      </c>
      <c r="J46" s="424">
        <v>1</v>
      </c>
      <c r="K46" s="435">
        <v>1</v>
      </c>
      <c r="L46" s="435">
        <v>1</v>
      </c>
      <c r="M46" s="435">
        <v>1</v>
      </c>
      <c r="N46" s="435">
        <v>1</v>
      </c>
    </row>
    <row r="47" spans="2:14" ht="50.1" customHeight="1" x14ac:dyDescent="0.2">
      <c r="B47" s="122"/>
      <c r="C47" s="122"/>
      <c r="D47" s="18"/>
      <c r="E47" s="18"/>
      <c r="F47" s="18"/>
      <c r="G47" s="21"/>
      <c r="H47" s="33"/>
      <c r="I47" s="146"/>
      <c r="J47" s="148"/>
      <c r="K47" s="149"/>
      <c r="L47" s="149"/>
      <c r="M47" s="149"/>
      <c r="N47" s="149"/>
    </row>
    <row r="48" spans="2:14" ht="24.75" customHeight="1" x14ac:dyDescent="0.2">
      <c r="B48" s="6" t="s">
        <v>303</v>
      </c>
      <c r="C48" s="6"/>
      <c r="D48" s="7" t="s">
        <v>9</v>
      </c>
      <c r="E48" s="7"/>
      <c r="F48" s="135" t="s">
        <v>10</v>
      </c>
      <c r="G48" s="9" t="s">
        <v>11</v>
      </c>
      <c r="H48" s="9" t="s">
        <v>12</v>
      </c>
      <c r="I48" s="9" t="s">
        <v>13</v>
      </c>
      <c r="J48" s="9" t="s">
        <v>14</v>
      </c>
      <c r="K48" s="9" t="s">
        <v>15</v>
      </c>
      <c r="L48" s="9" t="s">
        <v>16</v>
      </c>
      <c r="M48" s="9" t="s">
        <v>17</v>
      </c>
      <c r="N48" s="9" t="s">
        <v>18</v>
      </c>
    </row>
    <row r="49" spans="2:14" ht="24.75" customHeight="1" x14ac:dyDescent="0.25">
      <c r="B49" s="234" t="s">
        <v>304</v>
      </c>
      <c r="C49" s="234"/>
      <c r="D49" s="238"/>
      <c r="E49" s="238"/>
      <c r="F49" s="820"/>
      <c r="G49" s="433"/>
      <c r="H49" s="402"/>
      <c r="I49" s="244"/>
      <c r="J49" s="199"/>
      <c r="K49" s="244"/>
      <c r="L49" s="244"/>
      <c r="M49" s="244"/>
      <c r="N49" s="244"/>
    </row>
    <row r="50" spans="2:14" ht="24.75" customHeight="1" x14ac:dyDescent="0.25">
      <c r="B50" s="357" t="s">
        <v>305</v>
      </c>
      <c r="C50" s="357"/>
      <c r="D50" s="210" t="s">
        <v>25</v>
      </c>
      <c r="E50" s="210"/>
      <c r="F50" s="794">
        <f>SUM('Ausgrid Environment'!F50,'PLUS ES Environment'!F35)</f>
        <v>0</v>
      </c>
      <c r="G50" s="617">
        <f>SUM('Ausgrid Environment'!G50,'PLUS ES Environment'!G35)</f>
        <v>0</v>
      </c>
      <c r="H50" s="197">
        <f>SUM('Ausgrid Environment'!H50,'PLUS ES Environment'!H35)</f>
        <v>0</v>
      </c>
      <c r="I50" s="197">
        <f>SUM('Ausgrid Environment'!I50,'PLUS ES Environment'!I35)</f>
        <v>0</v>
      </c>
      <c r="J50" s="197">
        <f>SUM('Ausgrid Environment'!J50,'PLUS ES Environment'!J35)</f>
        <v>0</v>
      </c>
      <c r="K50" s="197">
        <f>SUM('Ausgrid Environment'!K50,'PLUS ES Environment'!K35)</f>
        <v>0</v>
      </c>
      <c r="L50" s="197">
        <f>SUM('Ausgrid Environment'!L50,'PLUS ES Environment'!L35)</f>
        <v>0</v>
      </c>
      <c r="M50" s="197">
        <f>SUM('Ausgrid Environment'!M50,'PLUS ES Environment'!M35)</f>
        <v>0</v>
      </c>
      <c r="N50" s="197">
        <f>SUM('Ausgrid Environment'!N50,'PLUS ES Environment'!N35)</f>
        <v>0</v>
      </c>
    </row>
    <row r="51" spans="2:14" ht="24.75" customHeight="1" x14ac:dyDescent="0.25">
      <c r="B51" s="235" t="s">
        <v>306</v>
      </c>
      <c r="C51" s="235"/>
      <c r="D51" s="251"/>
      <c r="E51" s="251"/>
      <c r="F51" s="233"/>
      <c r="G51" s="433"/>
      <c r="H51" s="259"/>
      <c r="I51" s="244"/>
      <c r="J51" s="199"/>
      <c r="K51" s="244"/>
      <c r="L51" s="244"/>
      <c r="M51" s="244"/>
      <c r="N51" s="244"/>
    </row>
    <row r="52" spans="2:14" ht="24.75" customHeight="1" x14ac:dyDescent="0.25">
      <c r="B52" s="357" t="s">
        <v>307</v>
      </c>
      <c r="C52" s="357"/>
      <c r="D52" s="251" t="s">
        <v>25</v>
      </c>
      <c r="E52" s="251"/>
      <c r="F52" s="794">
        <f>SUM('Ausgrid Environment'!F52,'PLUS ES Environment'!F37)</f>
        <v>0</v>
      </c>
      <c r="G52" s="617">
        <f>SUM('Ausgrid Environment'!G52,'PLUS ES Environment'!G37)</f>
        <v>0</v>
      </c>
      <c r="H52" s="197">
        <f>SUM('Ausgrid Environment'!H52,'PLUS ES Environment'!H37)</f>
        <v>0</v>
      </c>
      <c r="I52" s="197">
        <f>SUM('Ausgrid Environment'!I52,'PLUS ES Environment'!I37)</f>
        <v>0</v>
      </c>
      <c r="J52" s="197">
        <f>SUM('Ausgrid Environment'!J52,'PLUS ES Environment'!J37)</f>
        <v>0</v>
      </c>
      <c r="K52" s="197">
        <f>SUM('Ausgrid Environment'!K52,'PLUS ES Environment'!K37)</f>
        <v>0</v>
      </c>
      <c r="L52" s="197">
        <f>SUM('Ausgrid Environment'!L52,'PLUS ES Environment'!L37)</f>
        <v>0</v>
      </c>
      <c r="M52" s="197">
        <f>SUM('Ausgrid Environment'!M52,'PLUS ES Environment'!M37)</f>
        <v>0</v>
      </c>
      <c r="N52" s="197">
        <f>SUM('Ausgrid Environment'!N52,'PLUS ES Environment'!N37)</f>
        <v>0</v>
      </c>
    </row>
    <row r="53" spans="2:14" ht="24.75" customHeight="1" x14ac:dyDescent="0.25">
      <c r="B53" s="358" t="s">
        <v>308</v>
      </c>
      <c r="C53" s="357"/>
      <c r="D53" s="251" t="s">
        <v>25</v>
      </c>
      <c r="E53" s="251"/>
      <c r="F53" s="794">
        <f>SUM('Ausgrid Environment'!F53,'PLUS ES Environment'!F38)</f>
        <v>1</v>
      </c>
      <c r="G53" s="617">
        <f>SUM('Ausgrid Environment'!G53,'PLUS ES Environment'!G38)</f>
        <v>1</v>
      </c>
      <c r="H53" s="197">
        <f>SUM('Ausgrid Environment'!H53,'PLUS ES Environment'!H38)</f>
        <v>1</v>
      </c>
      <c r="I53" s="423">
        <v>3</v>
      </c>
      <c r="J53" s="197">
        <f>SUM('Ausgrid Environment'!J53,'PLUS ES Environment'!J38)</f>
        <v>0</v>
      </c>
      <c r="K53" s="423">
        <v>7</v>
      </c>
      <c r="L53" s="423">
        <v>2</v>
      </c>
      <c r="M53" s="197">
        <f>SUM('Ausgrid Environment'!M53,'PLUS ES Environment'!M38)</f>
        <v>0</v>
      </c>
      <c r="N53" s="423">
        <v>10</v>
      </c>
    </row>
    <row r="54" spans="2:14" ht="24.75" customHeight="1" x14ac:dyDescent="0.25">
      <c r="B54" s="357" t="s">
        <v>309</v>
      </c>
      <c r="C54" s="357"/>
      <c r="D54" s="251" t="s">
        <v>25</v>
      </c>
      <c r="E54" s="251"/>
      <c r="F54" s="794">
        <f>SUM('Ausgrid Environment'!F54,'PLUS ES Environment'!F39)</f>
        <v>0</v>
      </c>
      <c r="G54" s="617">
        <f>SUM('Ausgrid Environment'!G54,'PLUS ES Environment'!G39)</f>
        <v>0</v>
      </c>
      <c r="H54" s="197">
        <f>SUM('Ausgrid Environment'!H54,'PLUS ES Environment'!H39)</f>
        <v>0</v>
      </c>
      <c r="I54" s="197">
        <f>SUM('Ausgrid Environment'!I54,'PLUS ES Environment'!I39)</f>
        <v>0</v>
      </c>
      <c r="J54" s="197">
        <f>SUM('Ausgrid Environment'!J54,'PLUS ES Environment'!J39)</f>
        <v>0</v>
      </c>
      <c r="K54" s="197">
        <v>1</v>
      </c>
      <c r="L54" s="197">
        <f>SUM('Ausgrid Environment'!L54,'PLUS ES Environment'!L39)</f>
        <v>0</v>
      </c>
      <c r="M54" s="197">
        <f>SUM('Ausgrid Environment'!M54,'PLUS ES Environment'!M39)</f>
        <v>0</v>
      </c>
      <c r="N54" s="197">
        <f>SUM('Ausgrid Environment'!N54,'PLUS ES Environment'!N39)</f>
        <v>0</v>
      </c>
    </row>
    <row r="55" spans="2:14" ht="24.75" customHeight="1" x14ac:dyDescent="0.25">
      <c r="B55" s="345" t="s">
        <v>310</v>
      </c>
      <c r="C55" s="344"/>
      <c r="D55" s="251" t="s">
        <v>25</v>
      </c>
      <c r="E55" s="251"/>
      <c r="F55" s="794">
        <v>40</v>
      </c>
      <c r="G55" s="423">
        <v>48</v>
      </c>
      <c r="H55" s="423">
        <v>48</v>
      </c>
      <c r="I55" s="423">
        <v>46</v>
      </c>
      <c r="J55" s="423">
        <v>53</v>
      </c>
      <c r="K55" s="423">
        <v>65</v>
      </c>
      <c r="L55" s="423">
        <v>55</v>
      </c>
      <c r="M55" s="423">
        <v>46</v>
      </c>
      <c r="N55" s="423">
        <v>76</v>
      </c>
    </row>
    <row r="56" spans="2:14" ht="24.75" customHeight="1" x14ac:dyDescent="0.25">
      <c r="B56" s="615"/>
      <c r="C56" s="642"/>
      <c r="D56" s="98"/>
      <c r="E56" s="98"/>
      <c r="F56" s="98"/>
      <c r="G56" s="817"/>
      <c r="H56" s="22"/>
      <c r="I56" s="22"/>
      <c r="J56" s="22"/>
      <c r="K56" s="22"/>
      <c r="L56" s="22"/>
      <c r="M56" s="22"/>
      <c r="N56" s="22"/>
    </row>
    <row r="57" spans="2:14" x14ac:dyDescent="0.2">
      <c r="B57" s="615"/>
      <c r="C57" s="156"/>
      <c r="D57" s="71"/>
      <c r="E57" s="71"/>
      <c r="F57" s="71"/>
      <c r="G57" s="71"/>
      <c r="H57" s="71"/>
      <c r="I57" s="71"/>
      <c r="J57" s="71"/>
      <c r="K57" s="71"/>
      <c r="L57" s="71"/>
      <c r="M57" s="71"/>
      <c r="N57" s="71"/>
    </row>
    <row r="58" spans="2:14" ht="15.6" customHeight="1" x14ac:dyDescent="0.2">
      <c r="B58" s="156"/>
      <c r="C58" s="156"/>
      <c r="D58" s="71"/>
      <c r="E58" s="71"/>
      <c r="F58" s="71"/>
      <c r="G58" s="71"/>
      <c r="H58" s="71"/>
      <c r="I58" s="71"/>
      <c r="J58" s="71"/>
      <c r="K58" s="71"/>
      <c r="L58" s="71"/>
      <c r="M58" s="71"/>
      <c r="N58" s="71"/>
    </row>
    <row r="59" spans="2:14" ht="14.85" customHeight="1" x14ac:dyDescent="0.2">
      <c r="B59" s="616"/>
      <c r="C59" s="134"/>
      <c r="D59" s="134"/>
      <c r="E59" s="134"/>
      <c r="F59" s="134"/>
      <c r="G59" s="134"/>
      <c r="H59" s="134"/>
      <c r="I59" s="134"/>
      <c r="J59" s="134"/>
      <c r="K59" s="37"/>
      <c r="L59" s="37"/>
      <c r="M59" s="37"/>
      <c r="N59" s="37"/>
    </row>
    <row r="60" spans="2:14" x14ac:dyDescent="0.2">
      <c r="B60" s="615"/>
    </row>
    <row r="61" spans="2:14" x14ac:dyDescent="0.2">
      <c r="B61" s="615"/>
    </row>
    <row r="62" spans="2:14" x14ac:dyDescent="0.2">
      <c r="B62" s="615"/>
    </row>
    <row r="63" spans="2:14" x14ac:dyDescent="0.2">
      <c r="B63" s="615"/>
    </row>
    <row r="64" spans="2:14" x14ac:dyDescent="0.2">
      <c r="B64" s="615"/>
    </row>
    <row r="65" spans="2:7" x14ac:dyDescent="0.2">
      <c r="B65" s="615"/>
    </row>
    <row r="69" spans="2:7" x14ac:dyDescent="0.2">
      <c r="D69" s="37"/>
      <c r="E69" s="37"/>
      <c r="F69" s="37"/>
      <c r="G69" s="37"/>
    </row>
    <row r="70" spans="2:7" x14ac:dyDescent="0.2">
      <c r="D70" s="37"/>
      <c r="E70" s="37"/>
      <c r="F70" s="37"/>
      <c r="G70" s="37"/>
    </row>
    <row r="71" spans="2:7" x14ac:dyDescent="0.2">
      <c r="D71" s="37"/>
      <c r="E71" s="37"/>
      <c r="F71" s="37"/>
      <c r="G71" s="37"/>
    </row>
    <row r="72" spans="2:7" x14ac:dyDescent="0.2">
      <c r="D72" s="37"/>
      <c r="E72" s="37"/>
      <c r="F72" s="37"/>
      <c r="G72" s="37"/>
    </row>
    <row r="73" spans="2:7" x14ac:dyDescent="0.2">
      <c r="D73" s="37"/>
      <c r="E73" s="37"/>
      <c r="F73" s="37"/>
      <c r="G73" s="37"/>
    </row>
    <row r="74" spans="2:7" x14ac:dyDescent="0.2">
      <c r="D74" s="37"/>
      <c r="E74" s="37"/>
      <c r="F74" s="37"/>
      <c r="G74" s="37"/>
    </row>
    <row r="75" spans="2:7" x14ac:dyDescent="0.2">
      <c r="D75" s="37"/>
      <c r="E75" s="37"/>
      <c r="F75" s="37"/>
      <c r="G75" s="37"/>
    </row>
    <row r="76" spans="2:7" x14ac:dyDescent="0.2">
      <c r="D76" s="37"/>
      <c r="E76" s="37"/>
      <c r="F76" s="37"/>
      <c r="G76" s="37"/>
    </row>
    <row r="77" spans="2:7" x14ac:dyDescent="0.2">
      <c r="D77" s="37"/>
      <c r="E77" s="37"/>
      <c r="F77" s="37"/>
      <c r="G77" s="37"/>
    </row>
  </sheetData>
  <sheetProtection algorithmName="SHA-512" hashValue="CPsa5+6nKyNWEhFKN08V8t+jviIDz1t8LDqC5Srdl9ZirAjx876LzoCnG+QTbXFdJI2nkQ1qJs0EgQRslL1AuQ==" saltValue="wZ5MDtJKQaK8KUe5q41NeA==" spinCount="100000" sheet="1" objects="1" scenarios="1"/>
  <protectedRanges>
    <protectedRange algorithmName="SHA-512" hashValue="SBmVKL1PmbJO4BEGzBE2xSftKq5NiG1q1emuti/GVfceCNi5g6XOmQ1IMu3DBdkx1ZhRvUtbpcPo4ef6OYQSig==" saltValue="08oHF2zO3UoJG6Nlb1OgOA==" spinCount="100000" sqref="K4:K5 K18 K15:K16 K44:K49 K35:K37 K9 K51" name="FY20_1_2"/>
    <protectedRange algorithmName="SHA-512" hashValue="SBmVKL1PmbJO4BEGzBE2xSftKq5NiG1q1emuti/GVfceCNi5g6XOmQ1IMu3DBdkx1ZhRvUtbpcPo4ef6OYQSig==" saltValue="08oHF2zO3UoJG6Nlb1OgOA==" spinCount="100000" sqref="J41:N41 J14:N14" name="FY20_3_2_1"/>
    <protectedRange algorithmName="SHA-512" hashValue="SBmVKL1PmbJO4BEGzBE2xSftKq5NiG1q1emuti/GVfceCNi5g6XOmQ1IMu3DBdkx1ZhRvUtbpcPo4ef6OYQSig==" saltValue="08oHF2zO3UoJG6Nlb1OgOA==" spinCount="100000" sqref="G6" name="FY20_3_2_1_15"/>
    <protectedRange algorithmName="SHA-512" hashValue="SBmVKL1PmbJO4BEGzBE2xSftKq5NiG1q1emuti/GVfceCNi5g6XOmQ1IMu3DBdkx1ZhRvUtbpcPo4ef6OYQSig==" saltValue="08oHF2zO3UoJG6Nlb1OgOA==" spinCount="100000" sqref="G7" name="FY20_3_2_1_15_1"/>
    <protectedRange algorithmName="SHA-512" hashValue="SBmVKL1PmbJO4BEGzBE2xSftKq5NiG1q1emuti/GVfceCNi5g6XOmQ1IMu3DBdkx1ZhRvUtbpcPo4ef6OYQSig==" saltValue="08oHF2zO3UoJG6Nlb1OgOA==" spinCount="100000" sqref="G8" name="FY20_3_2_1_15_2"/>
    <protectedRange algorithmName="SHA-512" hashValue="SBmVKL1PmbJO4BEGzBE2xSftKq5NiG1q1emuti/GVfceCNi5g6XOmQ1IMu3DBdkx1ZhRvUtbpcPo4ef6OYQSig==" saltValue="08oHF2zO3UoJG6Nlb1OgOA==" spinCount="100000" sqref="G10" name="FY20_3_2_1_15_3"/>
    <protectedRange algorithmName="SHA-512" hashValue="SBmVKL1PmbJO4BEGzBE2xSftKq5NiG1q1emuti/GVfceCNi5g6XOmQ1IMu3DBdkx1ZhRvUtbpcPo4ef6OYQSig==" saltValue="08oHF2zO3UoJG6Nlb1OgOA==" spinCount="100000" sqref="G11" name="FY20_3_2_1_15_4"/>
    <protectedRange algorithmName="SHA-512" hashValue="SBmVKL1PmbJO4BEGzBE2xSftKq5NiG1q1emuti/GVfceCNi5g6XOmQ1IMu3DBdkx1ZhRvUtbpcPo4ef6OYQSig==" saltValue="08oHF2zO3UoJG6Nlb1OgOA==" spinCount="100000" sqref="G12:G13" name="FY20_3_2_1_15_5"/>
    <protectedRange algorithmName="SHA-512" hashValue="SBmVKL1PmbJO4BEGzBE2xSftKq5NiG1q1emuti/GVfceCNi5g6XOmQ1IMu3DBdkx1ZhRvUtbpcPo4ef6OYQSig==" saltValue="08oHF2zO3UoJG6Nlb1OgOA==" spinCount="100000" sqref="G17:N17" name="FY20_3_2_1_15_6"/>
    <protectedRange algorithmName="SHA-512" hashValue="SBmVKL1PmbJO4BEGzBE2xSftKq5NiG1q1emuti/GVfceCNi5g6XOmQ1IMu3DBdkx1ZhRvUtbpcPo4ef6OYQSig==" saltValue="08oHF2zO3UoJG6Nlb1OgOA==" spinCount="100000" sqref="G20 J32:N34" name="FY20_3_2_1_15_7"/>
    <protectedRange algorithmName="SHA-512" hashValue="SBmVKL1PmbJO4BEGzBE2xSftKq5NiG1q1emuti/GVfceCNi5g6XOmQ1IMu3DBdkx1ZhRvUtbpcPo4ef6OYQSig==" saltValue="08oHF2zO3UoJG6Nlb1OgOA==" spinCount="100000" sqref="G39:N40 G38:H38 F38:F40" name="FY20_3_2_1_15_12"/>
    <protectedRange algorithmName="SHA-512" hashValue="SBmVKL1PmbJO4BEGzBE2xSftKq5NiG1q1emuti/GVfceCNi5g6XOmQ1IMu3DBdkx1ZhRvUtbpcPo4ef6OYQSig==" saltValue="08oHF2zO3UoJG6Nlb1OgOA==" spinCount="100000" sqref="G42:N43" name="FY20_3_2_1_15_17"/>
    <protectedRange algorithmName="SHA-512" hashValue="SBmVKL1PmbJO4BEGzBE2xSftKq5NiG1q1emuti/GVfceCNi5g6XOmQ1IMu3DBdkx1ZhRvUtbpcPo4ef6OYQSig==" saltValue="08oHF2zO3UoJG6Nlb1OgOA==" spinCount="100000" sqref="F46:G46" name="FY20_3_2_1_15_19"/>
    <protectedRange algorithmName="SHA-512" hashValue="SBmVKL1PmbJO4BEGzBE2xSftKq5NiG1q1emuti/GVfceCNi5g6XOmQ1IMu3DBdkx1ZhRvUtbpcPo4ef6OYQSig==" saltValue="08oHF2zO3UoJG6Nlb1OgOA==" spinCount="100000" sqref="F50:N50" name="FY20_3_2_1_15_20"/>
    <protectedRange algorithmName="SHA-512" hashValue="SBmVKL1PmbJO4BEGzBE2xSftKq5NiG1q1emuti/GVfceCNi5g6XOmQ1IMu3DBdkx1ZhRvUtbpcPo4ef6OYQSig==" saltValue="08oHF2zO3UoJG6Nlb1OgOA==" spinCount="100000" sqref="G52:N56 F52:F55" name="FY20_3_2_1_15_21"/>
    <protectedRange algorithmName="SHA-512" hashValue="SBmVKL1PmbJO4BEGzBE2xSftKq5NiG1q1emuti/GVfceCNi5g6XOmQ1IMu3DBdkx1ZhRvUtbpcPo4ef6OYQSig==" saltValue="08oHF2zO3UoJG6Nlb1OgOA==" spinCount="100000" sqref="H10:N11 I12:N13" name="FY20_3_2_1_2"/>
    <protectedRange algorithmName="SHA-512" hashValue="SBmVKL1PmbJO4BEGzBE2xSftKq5NiG1q1emuti/GVfceCNi5g6XOmQ1IMu3DBdkx1ZhRvUtbpcPo4ef6OYQSig==" saltValue="08oHF2zO3UoJG6Nlb1OgOA==" spinCount="100000" sqref="G19" name="FY20_3_2_1_3"/>
    <protectedRange algorithmName="SHA-512" hashValue="SBmVKL1PmbJO4BEGzBE2xSftKq5NiG1q1emuti/GVfceCNi5g6XOmQ1IMu3DBdkx1ZhRvUtbpcPo4ef6OYQSig==" saltValue="08oHF2zO3UoJG6Nlb1OgOA==" spinCount="100000" sqref="G21 G24:G25 G27:G34 F32:F33" name="FY20_3_2_1_4"/>
    <protectedRange algorithmName="SHA-512" hashValue="SBmVKL1PmbJO4BEGzBE2xSftKq5NiG1q1emuti/GVfceCNi5g6XOmQ1IMu3DBdkx1ZhRvUtbpcPo4ef6OYQSig==" saltValue="08oHF2zO3UoJG6Nlb1OgOA==" spinCount="100000" sqref="K26 K19:K23" name="FY20_1_2_1"/>
    <protectedRange algorithmName="SHA-512" hashValue="SBmVKL1PmbJO4BEGzBE2xSftKq5NiG1q1emuti/GVfceCNi5g6XOmQ1IMu3DBdkx1ZhRvUtbpcPo4ef6OYQSig==" saltValue="08oHF2zO3UoJG6Nlb1OgOA==" spinCount="100000" sqref="I27:I31 I26:J26 I24:I25 I20:J23" name="FY20_3_2_2"/>
    <protectedRange algorithmName="SHA-512" hashValue="SBmVKL1PmbJO4BEGzBE2xSftKq5NiG1q1emuti/GVfceCNi5g6XOmQ1IMu3DBdkx1ZhRvUtbpcPo4ef6OYQSig==" saltValue="08oHF2zO3UoJG6Nlb1OgOA==" spinCount="100000" sqref="J24:N25 J27:N31" name="FY20_3_2_1_5"/>
    <protectedRange algorithmName="SHA-512" hashValue="SBmVKL1PmbJO4BEGzBE2xSftKq5NiG1q1emuti/GVfceCNi5g6XOmQ1IMu3DBdkx1ZhRvUtbpcPo4ef6OYQSig==" saltValue="08oHF2zO3UoJG6Nlb1OgOA==" spinCount="100000" sqref="H32:I34" name="FY20_3_2_3"/>
    <protectedRange algorithmName="SHA-512" hashValue="SBmVKL1PmbJO4BEGzBE2xSftKq5NiG1q1emuti/GVfceCNi5g6XOmQ1IMu3DBdkx1ZhRvUtbpcPo4ef6OYQSig==" saltValue="08oHF2zO3UoJG6Nlb1OgOA==" spinCount="100000" sqref="I38" name="FY20_3_2_1_1"/>
    <protectedRange algorithmName="SHA-512" hashValue="SBmVKL1PmbJO4BEGzBE2xSftKq5NiG1q1emuti/GVfceCNi5g6XOmQ1IMu3DBdkx1ZhRvUtbpcPo4ef6OYQSig==" saltValue="08oHF2zO3UoJG6Nlb1OgOA==" spinCount="100000" sqref="J38" name="FY20_3_2_1_7"/>
    <protectedRange algorithmName="SHA-512" hashValue="SBmVKL1PmbJO4BEGzBE2xSftKq5NiG1q1emuti/GVfceCNi5g6XOmQ1IMu3DBdkx1ZhRvUtbpcPo4ef6OYQSig==" saltValue="08oHF2zO3UoJG6Nlb1OgOA==" spinCount="100000" sqref="K38" name="FY20_3_2_1_8"/>
    <protectedRange algorithmName="SHA-512" hashValue="SBmVKL1PmbJO4BEGzBE2xSftKq5NiG1q1emuti/GVfceCNi5g6XOmQ1IMu3DBdkx1ZhRvUtbpcPo4ef6OYQSig==" saltValue="08oHF2zO3UoJG6Nlb1OgOA==" spinCount="100000" sqref="L38" name="FY20_3_2_1_9"/>
    <protectedRange algorithmName="SHA-512" hashValue="SBmVKL1PmbJO4BEGzBE2xSftKq5NiG1q1emuti/GVfceCNi5g6XOmQ1IMu3DBdkx1ZhRvUtbpcPo4ef6OYQSig==" saltValue="08oHF2zO3UoJG6Nlb1OgOA==" spinCount="100000" sqref="M38" name="FY20_3_2_1_10"/>
    <protectedRange algorithmName="SHA-512" hashValue="SBmVKL1PmbJO4BEGzBE2xSftKq5NiG1q1emuti/GVfceCNi5g6XOmQ1IMu3DBdkx1ZhRvUtbpcPo4ef6OYQSig==" saltValue="08oHF2zO3UoJG6Nlb1OgOA==" spinCount="100000" sqref="N38" name="FY20_3_2_1_11"/>
  </protectedRanges>
  <mergeCells count="2">
    <mergeCell ref="B13:N13"/>
    <mergeCell ref="B34:N34"/>
  </mergeCells>
  <hyperlinks>
    <hyperlink ref="B22" r:id="rId1" display="Water outflows / discharges (GRESB Categories)" xr:uid="{6293009C-5078-4FA7-A03B-E765F93C9E64}"/>
  </hyperlinks>
  <pageMargins left="0.7" right="0.7" top="0.75" bottom="0.75" header="0.3" footer="0.3"/>
  <pageSetup paperSize="9" scale="27" orientation="portrait" r:id="rId2"/>
  <headerFooter>
    <oddFooter>&amp;L_x000D_&amp;1#&amp;"Calibri"&amp;8&amp;K000000 Unclassified</oddFooter>
  </headerFooter>
  <ignoredErrors>
    <ignoredError sqref="F33:G33 H33:I33" formulaRange="1"/>
  </ignoredError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61d1fe08-3b93-4804-8c75-d55fcf4b8086">
      <Terms xmlns="http://schemas.microsoft.com/office/infopath/2007/PartnerControls"/>
    </lcf76f155ced4ddcb4097134ff3c332f>
    <TaxCatchAll xmlns="4db7c197-61e0-46bf-953a-3a886f8b484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A71F39B8BF894CBCF016CCB37C0725" ma:contentTypeVersion="14" ma:contentTypeDescription="Create a new document." ma:contentTypeScope="" ma:versionID="db6cf3006f14782114368f314ee9584d">
  <xsd:schema xmlns:xsd="http://www.w3.org/2001/XMLSchema" xmlns:xs="http://www.w3.org/2001/XMLSchema" xmlns:p="http://schemas.microsoft.com/office/2006/metadata/properties" xmlns:ns1="http://schemas.microsoft.com/sharepoint/v3" xmlns:ns2="61d1fe08-3b93-4804-8c75-d55fcf4b8086" xmlns:ns3="4db7c197-61e0-46bf-953a-3a886f8b484b" targetNamespace="http://schemas.microsoft.com/office/2006/metadata/properties" ma:root="true" ma:fieldsID="f68f15f3ad3b3a81ffb4f82942f611dc" ns1:_="" ns2:_="" ns3:_="">
    <xsd:import namespace="http://schemas.microsoft.com/sharepoint/v3"/>
    <xsd:import namespace="61d1fe08-3b93-4804-8c75-d55fcf4b8086"/>
    <xsd:import namespace="4db7c197-61e0-46bf-953a-3a886f8b484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1:_ip_UnifiedCompliancePolicyProperties" minOccurs="0"/>
                <xsd:element ref="ns1:_ip_UnifiedCompliancePolicyUIAction"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d1fe08-3b93-4804-8c75-d55fcf4b80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1a43c2ec-38d9-4aa0-904c-c7efe2e8e164"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db7c197-61e0-46bf-953a-3a886f8b484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f9db6324-fef3-4e70-b2a7-0ce608770799}" ma:internalName="TaxCatchAll" ma:showField="CatchAllData" ma:web="4db7c197-61e0-46bf-953a-3a886f8b48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B805AB-8BBD-4055-971E-E4C3D7703090}">
  <ds:schemaRefs>
    <ds:schemaRef ds:uri="61d1fe08-3b93-4804-8c75-d55fcf4b8086"/>
    <ds:schemaRef ds:uri="http://schemas.microsoft.com/sharepoint/v3"/>
    <ds:schemaRef ds:uri="4db7c197-61e0-46bf-953a-3a886f8b484b"/>
    <ds:schemaRef ds:uri="http://purl.org/dc/elements/1.1/"/>
    <ds:schemaRef ds:uri="http://purl.org/dc/terms/"/>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3A8B4921-D248-46A1-AE14-06379C6691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1d1fe08-3b93-4804-8c75-d55fcf4b8086"/>
    <ds:schemaRef ds:uri="4db7c197-61e0-46bf-953a-3a886f8b48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3914D8-70FD-4095-A707-E28CF1891F15}">
  <ds:schemaRefs>
    <ds:schemaRef ds:uri="http://schemas.microsoft.com/sharepoint/v3/contenttype/forms"/>
  </ds:schemaRefs>
</ds:datastoreItem>
</file>

<file path=docMetadata/LabelInfo.xml><?xml version="1.0" encoding="utf-8"?>
<clbl:labelList xmlns:clbl="http://schemas.microsoft.com/office/2020/mipLabelMetadata">
  <clbl:label id="{5b03f294-d326-458e-92b7-b8ad6aaa10ef}" enabled="1" method="Privileged" siteId="{11302428-4f10-4c14-a17f-b368bb82853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41</vt:i4>
      </vt:variant>
    </vt:vector>
  </HeadingPairs>
  <TitlesOfParts>
    <vt:vector size="59" baseType="lpstr">
      <vt:lpstr>About &amp; contents</vt:lpstr>
      <vt:lpstr>Ausgrid Business</vt:lpstr>
      <vt:lpstr>PLUS ES Business</vt:lpstr>
      <vt:lpstr>GROUP Risk &amp; Compliance</vt:lpstr>
      <vt:lpstr>GROUP Workforce</vt:lpstr>
      <vt:lpstr>Ausgrid Workforce</vt:lpstr>
      <vt:lpstr>PLUS ES Workforce</vt:lpstr>
      <vt:lpstr>Ausgrid Customer</vt:lpstr>
      <vt:lpstr>GROUP Environment</vt:lpstr>
      <vt:lpstr>Ausgrid Environment</vt:lpstr>
      <vt:lpstr>PLUS ES Environment</vt:lpstr>
      <vt:lpstr>Ausgrid Power Supplied</vt:lpstr>
      <vt:lpstr>GROUP Emissions</vt:lpstr>
      <vt:lpstr>Ausgrid Emissions</vt:lpstr>
      <vt:lpstr>PLUS ES Emissions</vt:lpstr>
      <vt:lpstr>GROUP Health &amp; Safety</vt:lpstr>
      <vt:lpstr>PLUS ES Health &amp; Safety</vt:lpstr>
      <vt:lpstr>GRI Index</vt:lpstr>
      <vt:lpstr>About</vt:lpstr>
      <vt:lpstr>About_This_Workbook</vt:lpstr>
      <vt:lpstr>Ausgrid_Business_Overview</vt:lpstr>
      <vt:lpstr>Ausgrid_Customer_Experience</vt:lpstr>
      <vt:lpstr>Ausgrid_Energy_and_Emissions</vt:lpstr>
      <vt:lpstr>Ausgrid_Environment</vt:lpstr>
      <vt:lpstr>Ausgrid_Group_Energy_and_Emissions</vt:lpstr>
      <vt:lpstr>Ausgrid_Group_Environment</vt:lpstr>
      <vt:lpstr>Ausgrid_Group_Risk___Compliance1</vt:lpstr>
      <vt:lpstr>Ausgrid_Group_Risk_and_Compliance</vt:lpstr>
      <vt:lpstr>Ausgrid_Group_Workforce</vt:lpstr>
      <vt:lpstr>Ausgrid_Health_and_Safety</vt:lpstr>
      <vt:lpstr>Ausgrid_Power_Supplied</vt:lpstr>
      <vt:lpstr>Ausgrid_Workforce</vt:lpstr>
      <vt:lpstr>Ausgridbusiness</vt:lpstr>
      <vt:lpstr>Contents</vt:lpstr>
      <vt:lpstr>Contents_Home</vt:lpstr>
      <vt:lpstr>GRI_Index</vt:lpstr>
      <vt:lpstr>'Ausgrid Business'!Our_Business___At_A_Glance</vt:lpstr>
      <vt:lpstr>Our_Business___At_A_Glance</vt:lpstr>
      <vt:lpstr>PLUS_ES_Business_Overview</vt:lpstr>
      <vt:lpstr>PLUS_ES_Emissions</vt:lpstr>
      <vt:lpstr>PLUS_ES_Environment</vt:lpstr>
      <vt:lpstr>PLUS_ES_Health_and_Safety</vt:lpstr>
      <vt:lpstr>PLUS_ES_Workforce</vt:lpstr>
      <vt:lpstr>'Ausgrid Customer'!Print_Area</vt:lpstr>
      <vt:lpstr>'Ausgrid Emissions'!Print_Area</vt:lpstr>
      <vt:lpstr>'Ausgrid Environment'!Print_Area</vt:lpstr>
      <vt:lpstr>'Ausgrid Power Supplied'!Print_Area</vt:lpstr>
      <vt:lpstr>'Ausgrid Workforce'!Print_Area</vt:lpstr>
      <vt:lpstr>'GROUP Emissions'!Print_Area</vt:lpstr>
      <vt:lpstr>'GROUP Environment'!Print_Area</vt:lpstr>
      <vt:lpstr>'GROUP Health &amp; Safety'!Print_Area</vt:lpstr>
      <vt:lpstr>'PLUS ES Emissions'!Print_Area</vt:lpstr>
      <vt:lpstr>'PLUS ES Environment'!Print_Area</vt:lpstr>
      <vt:lpstr>'PLUS ES Health &amp; Safety'!Print_Area</vt:lpstr>
      <vt:lpstr>'PLUS ES Workforce'!Print_Area</vt:lpstr>
      <vt:lpstr>'GROUP Environment'!Waste</vt:lpstr>
      <vt:lpstr>Waste</vt:lpstr>
      <vt:lpstr>'GROUP Environment'!Water_Dis</vt:lpstr>
      <vt:lpstr>Water_Dis</vt:lpstr>
    </vt:vector>
  </TitlesOfParts>
  <Manager/>
  <Company>IFM Investors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Skocic, Marina</dc:creator>
  <cp:keywords/>
  <dc:description/>
  <cp:lastModifiedBy>Caroline Stewart</cp:lastModifiedBy>
  <cp:revision/>
  <cp:lastPrinted>2025-09-18T06:07:55Z</cp:lastPrinted>
  <dcterms:created xsi:type="dcterms:W3CDTF">2021-09-06T23:32:13Z</dcterms:created>
  <dcterms:modified xsi:type="dcterms:W3CDTF">2025-10-28T02:26:34Z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0x010100F5A71F39B8BF894CBCF016CCB37C0725</vt:lpwstr>
  </property>
  <property fmtid="{D5CDD505-2E9C-101B-9397-08002B2CF9AE}" pid="3" name="Order">
    <vt:r8>1800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MSIP_Label_5b03f294-d326-458e-92b7-b8ad6aaa10ef_Enabled">
    <vt:lpwstr>true</vt:lpwstr>
  </property>
  <property fmtid="{D5CDD505-2E9C-101B-9397-08002B2CF9AE}" pid="12" name="MSIP_Label_5b03f294-d326-458e-92b7-b8ad6aaa10ef_SetDate">
    <vt:lpwstr>2023-08-14T02:03:46Z</vt:lpwstr>
  </property>
  <property fmtid="{D5CDD505-2E9C-101B-9397-08002B2CF9AE}" pid="13" name="MSIP_Label_5b03f294-d326-458e-92b7-b8ad6aaa10ef_Method">
    <vt:lpwstr>Privileged</vt:lpwstr>
  </property>
  <property fmtid="{D5CDD505-2E9C-101B-9397-08002B2CF9AE}" pid="14" name="MSIP_Label_5b03f294-d326-458e-92b7-b8ad6aaa10ef_Name">
    <vt:lpwstr>AG-Business</vt:lpwstr>
  </property>
  <property fmtid="{D5CDD505-2E9C-101B-9397-08002B2CF9AE}" pid="15" name="MSIP_Label_5b03f294-d326-458e-92b7-b8ad6aaa10ef_SiteId">
    <vt:lpwstr>11302428-4f10-4c14-a17f-b368bb82853d</vt:lpwstr>
  </property>
  <property fmtid="{D5CDD505-2E9C-101B-9397-08002B2CF9AE}" pid="16" name="MSIP_Label_5b03f294-d326-458e-92b7-b8ad6aaa10ef_ActionId">
    <vt:lpwstr>3c8b1c72-29d8-42d0-b615-4cead127fc7e</vt:lpwstr>
  </property>
  <property fmtid="{D5CDD505-2E9C-101B-9397-08002B2CF9AE}" pid="17" name="MSIP_Label_5b03f294-d326-458e-92b7-b8ad6aaa10ef_ContentBits">
    <vt:lpwstr>2</vt:lpwstr>
  </property>
  <property fmtid="{D5CDD505-2E9C-101B-9397-08002B2CF9AE}" pid="18" name="SharedWithUsers">
    <vt:lpwstr>14;#SharingLinks.8b4bfd62-2e51-4f06-ac6e-8eae926ccb90.Flexible.029b5a80-28d2-4045-b78e-5f03091752fb;#15;#SharingLinks.43e6203b-3fb1-4f5e-a6ea-d738937d45de.Flexible.c77e72b0-0f5a-4581-b350-d2f9cf5e0fd5;#16;#SharingLinks.79eb156f-f0ae-462b-85cb-8319e7ddab54.Flexible.65df0ee1-0968-4065-88a6-ed9812e7cd94;#17;#SharingLinks.63b825ac-d468-4e43-b2dc-d2c040f5e361.Flexible.182c1b7e-f589-436a-9c87-de3bd0ca6d7f;#18;#Jessica Higgs;#19;#Limited Access System Group For List 6d11186e-c510-439b-b201-a51499058aab;#20;#Limited Access System Group For Web 0d1e6c31-9dee-438c-9047-85c941ff9262;#21;#SharingLinks.e7f2d3af-c1d2-4637-80b6-719a3c0d2283.Flexible.8ef86e22-0e7f-4278-b429-de1bd3634c04;#22;#Kesaia Takau;#23;#SharingLinks.0460934b-8086-4bd5-99b0-1e285f19c444.OrganizationView.29ea4097-8ac5-45d8-9a71-26df3dea0e6a;#7;#GRPO365_FY23 Sustainability Reporting Members;#12;#Anna Shultz;#28;#Emma Sun;#29;#Jacqueline Blunt;#30;#Nicholas Convery;#31;#Laura Cooper;#32;#Jacob Muscat;#73;#Mark Appleton;#88;#Clare Buckingham;#37;#Selina O'Connor;#11;#Craig Wilson;#257;#Nigel Lowry;#256;#Sharon Daley;#53;#Alex McPherson</vt:lpwstr>
  </property>
</Properties>
</file>